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230" activeTab="1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calcId="125725"/>
</workbook>
</file>

<file path=xl/calcChain.xml><?xml version="1.0" encoding="utf-8"?>
<calcChain xmlns="http://schemas.openxmlformats.org/spreadsheetml/2006/main">
  <c r="I35" i="3"/>
  <c r="I36" s="1"/>
  <c r="I24" i="2" s="1"/>
  <c r="I26" i="3"/>
  <c r="I25"/>
  <c r="I24"/>
  <c r="I23"/>
  <c r="I22"/>
  <c r="I17"/>
  <c r="I16"/>
  <c r="I15"/>
  <c r="I18" s="1"/>
  <c r="I10"/>
  <c r="F10"/>
  <c r="C10"/>
  <c r="F8"/>
  <c r="C8"/>
  <c r="F6"/>
  <c r="C6"/>
  <c r="F4"/>
  <c r="C4"/>
  <c r="F2"/>
  <c r="C2"/>
  <c r="I19" i="2"/>
  <c r="I18"/>
  <c r="I17"/>
  <c r="I16"/>
  <c r="F16"/>
  <c r="F15"/>
  <c r="I10"/>
  <c r="F10"/>
  <c r="C10"/>
  <c r="F8"/>
  <c r="C8"/>
  <c r="F6"/>
  <c r="C6"/>
  <c r="F4"/>
  <c r="C4"/>
  <c r="F2"/>
  <c r="C2"/>
  <c r="BJ78" i="1"/>
  <c r="BF78"/>
  <c r="BD78"/>
  <c r="AP78"/>
  <c r="BI78" s="1"/>
  <c r="AO78"/>
  <c r="BH78" s="1"/>
  <c r="AK78"/>
  <c r="AT75" s="1"/>
  <c r="AJ78"/>
  <c r="AH78"/>
  <c r="AG78"/>
  <c r="AF78"/>
  <c r="AE78"/>
  <c r="AD78"/>
  <c r="AC78"/>
  <c r="AB78"/>
  <c r="Z78"/>
  <c r="M78"/>
  <c r="K78"/>
  <c r="AL78" s="1"/>
  <c r="J78"/>
  <c r="BJ77"/>
  <c r="BD77"/>
  <c r="AP77"/>
  <c r="AX77" s="1"/>
  <c r="AO77"/>
  <c r="AW77" s="1"/>
  <c r="AK77"/>
  <c r="AJ77"/>
  <c r="AH77"/>
  <c r="AG77"/>
  <c r="AF77"/>
  <c r="AE77"/>
  <c r="AD77"/>
  <c r="AC77"/>
  <c r="AB77"/>
  <c r="Z77"/>
  <c r="M77"/>
  <c r="BF77" s="1"/>
  <c r="K77"/>
  <c r="AL77" s="1"/>
  <c r="BJ76"/>
  <c r="BF76"/>
  <c r="BD76"/>
  <c r="AP76"/>
  <c r="BI76" s="1"/>
  <c r="AO76"/>
  <c r="I76" s="1"/>
  <c r="AK76"/>
  <c r="AJ76"/>
  <c r="AH76"/>
  <c r="AG76"/>
  <c r="AF76"/>
  <c r="AE76"/>
  <c r="AD76"/>
  <c r="AC76"/>
  <c r="AB76"/>
  <c r="Z76"/>
  <c r="M76"/>
  <c r="M75" s="1"/>
  <c r="K76"/>
  <c r="AL76" s="1"/>
  <c r="BJ74"/>
  <c r="Z74" s="1"/>
  <c r="BD74"/>
  <c r="AP74"/>
  <c r="J74" s="1"/>
  <c r="J73" s="1"/>
  <c r="AO74"/>
  <c r="BH74" s="1"/>
  <c r="AK74"/>
  <c r="AJ74"/>
  <c r="AS73" s="1"/>
  <c r="AH74"/>
  <c r="AG74"/>
  <c r="AF74"/>
  <c r="AE74"/>
  <c r="AD74"/>
  <c r="AC74"/>
  <c r="AB74"/>
  <c r="M74"/>
  <c r="BF74" s="1"/>
  <c r="K74"/>
  <c r="AL74" s="1"/>
  <c r="AU73" s="1"/>
  <c r="AT73"/>
  <c r="BJ72"/>
  <c r="BD72"/>
  <c r="AP72"/>
  <c r="AX72" s="1"/>
  <c r="AO72"/>
  <c r="AW72" s="1"/>
  <c r="AK72"/>
  <c r="AJ72"/>
  <c r="AH72"/>
  <c r="AE72"/>
  <c r="AD72"/>
  <c r="AC72"/>
  <c r="AB72"/>
  <c r="Z72"/>
  <c r="M72"/>
  <c r="BF72" s="1"/>
  <c r="K72"/>
  <c r="AL72" s="1"/>
  <c r="I72"/>
  <c r="BJ71"/>
  <c r="BF71"/>
  <c r="BD71"/>
  <c r="AX71"/>
  <c r="AP71"/>
  <c r="BI71" s="1"/>
  <c r="AG71" s="1"/>
  <c r="AO71"/>
  <c r="I71" s="1"/>
  <c r="AK71"/>
  <c r="AJ71"/>
  <c r="AH71"/>
  <c r="AE71"/>
  <c r="AD71"/>
  <c r="AC71"/>
  <c r="AB71"/>
  <c r="Z71"/>
  <c r="M71"/>
  <c r="K71"/>
  <c r="AL71" s="1"/>
  <c r="J71"/>
  <c r="BJ70"/>
  <c r="BD70"/>
  <c r="AP70"/>
  <c r="AX70" s="1"/>
  <c r="AO70"/>
  <c r="AW70" s="1"/>
  <c r="AK70"/>
  <c r="AJ70"/>
  <c r="AH70"/>
  <c r="AE70"/>
  <c r="AD70"/>
  <c r="AC70"/>
  <c r="AB70"/>
  <c r="Z70"/>
  <c r="M70"/>
  <c r="BF70" s="1"/>
  <c r="K70"/>
  <c r="AL70" s="1"/>
  <c r="I70"/>
  <c r="BJ69"/>
  <c r="BF69"/>
  <c r="BD69"/>
  <c r="AP69"/>
  <c r="BI69" s="1"/>
  <c r="AG69" s="1"/>
  <c r="AO69"/>
  <c r="I69" s="1"/>
  <c r="AK69"/>
  <c r="AJ69"/>
  <c r="AH69"/>
  <c r="AE69"/>
  <c r="AD69"/>
  <c r="AC69"/>
  <c r="AB69"/>
  <c r="Z69"/>
  <c r="M69"/>
  <c r="K69"/>
  <c r="AL69" s="1"/>
  <c r="J69"/>
  <c r="BJ68"/>
  <c r="BD68"/>
  <c r="AP68"/>
  <c r="BI68" s="1"/>
  <c r="AG68" s="1"/>
  <c r="AO68"/>
  <c r="AW68" s="1"/>
  <c r="AK68"/>
  <c r="AJ68"/>
  <c r="AH68"/>
  <c r="AE68"/>
  <c r="AD68"/>
  <c r="AC68"/>
  <c r="AB68"/>
  <c r="Z68"/>
  <c r="M68"/>
  <c r="BF68" s="1"/>
  <c r="K68"/>
  <c r="AL68" s="1"/>
  <c r="BJ67"/>
  <c r="BF67"/>
  <c r="BD67"/>
  <c r="AW67"/>
  <c r="AP67"/>
  <c r="BI67" s="1"/>
  <c r="AG67" s="1"/>
  <c r="AO67"/>
  <c r="I67" s="1"/>
  <c r="AK67"/>
  <c r="AJ67"/>
  <c r="AH67"/>
  <c r="AE67"/>
  <c r="AD67"/>
  <c r="AC67"/>
  <c r="AB67"/>
  <c r="Z67"/>
  <c r="M67"/>
  <c r="K67"/>
  <c r="AL67" s="1"/>
  <c r="J67"/>
  <c r="BJ66"/>
  <c r="BD66"/>
  <c r="AP66"/>
  <c r="AX66" s="1"/>
  <c r="AO66"/>
  <c r="AW66" s="1"/>
  <c r="AK66"/>
  <c r="AJ66"/>
  <c r="AH66"/>
  <c r="AE66"/>
  <c r="AD66"/>
  <c r="AC66"/>
  <c r="AB66"/>
  <c r="Z66"/>
  <c r="M66"/>
  <c r="BF66" s="1"/>
  <c r="K66"/>
  <c r="AL66" s="1"/>
  <c r="I66"/>
  <c r="BJ65"/>
  <c r="BF65"/>
  <c r="BD65"/>
  <c r="AX65"/>
  <c r="AP65"/>
  <c r="BI65" s="1"/>
  <c r="AG65" s="1"/>
  <c r="AO65"/>
  <c r="I65" s="1"/>
  <c r="AK65"/>
  <c r="AJ65"/>
  <c r="AH65"/>
  <c r="AE65"/>
  <c r="AD65"/>
  <c r="AC65"/>
  <c r="AB65"/>
  <c r="Z65"/>
  <c r="M65"/>
  <c r="K65"/>
  <c r="AL65" s="1"/>
  <c r="J65"/>
  <c r="BJ64"/>
  <c r="BD64"/>
  <c r="AP64"/>
  <c r="BI64" s="1"/>
  <c r="AG64" s="1"/>
  <c r="AO64"/>
  <c r="AW64" s="1"/>
  <c r="AK64"/>
  <c r="AJ64"/>
  <c r="AH64"/>
  <c r="AE64"/>
  <c r="AD64"/>
  <c r="AC64"/>
  <c r="AB64"/>
  <c r="Z64"/>
  <c r="M64"/>
  <c r="BF64" s="1"/>
  <c r="K64"/>
  <c r="AL64" s="1"/>
  <c r="I64"/>
  <c r="BJ63"/>
  <c r="BF63"/>
  <c r="BD63"/>
  <c r="AP63"/>
  <c r="BI63" s="1"/>
  <c r="AG63" s="1"/>
  <c r="AO63"/>
  <c r="I63" s="1"/>
  <c r="AK63"/>
  <c r="AJ63"/>
  <c r="AH63"/>
  <c r="AE63"/>
  <c r="AD63"/>
  <c r="AC63"/>
  <c r="AB63"/>
  <c r="Z63"/>
  <c r="M63"/>
  <c r="K63"/>
  <c r="J63"/>
  <c r="BJ62"/>
  <c r="BD62"/>
  <c r="AP62"/>
  <c r="BI62" s="1"/>
  <c r="AG62" s="1"/>
  <c r="AO62"/>
  <c r="AW62" s="1"/>
  <c r="AK62"/>
  <c r="AJ62"/>
  <c r="AH62"/>
  <c r="AE62"/>
  <c r="AD62"/>
  <c r="AC62"/>
  <c r="AB62"/>
  <c r="Z62"/>
  <c r="M62"/>
  <c r="BF62" s="1"/>
  <c r="K62"/>
  <c r="AL62" s="1"/>
  <c r="I62"/>
  <c r="M61"/>
  <c r="BJ60"/>
  <c r="BF60"/>
  <c r="BD60"/>
  <c r="AP60"/>
  <c r="AX60" s="1"/>
  <c r="AO60"/>
  <c r="BH60" s="1"/>
  <c r="AF60" s="1"/>
  <c r="AK60"/>
  <c r="AJ60"/>
  <c r="AH60"/>
  <c r="AE60"/>
  <c r="AD60"/>
  <c r="AC60"/>
  <c r="AB60"/>
  <c r="Z60"/>
  <c r="M60"/>
  <c r="K60"/>
  <c r="AL60" s="1"/>
  <c r="J60"/>
  <c r="I60"/>
  <c r="BJ59"/>
  <c r="BD59"/>
  <c r="AX59"/>
  <c r="AP59"/>
  <c r="J59" s="1"/>
  <c r="AO59"/>
  <c r="BH59" s="1"/>
  <c r="AF59" s="1"/>
  <c r="AK59"/>
  <c r="AJ59"/>
  <c r="AH59"/>
  <c r="AE59"/>
  <c r="AD59"/>
  <c r="AC59"/>
  <c r="AB59"/>
  <c r="Z59"/>
  <c r="M59"/>
  <c r="BF59" s="1"/>
  <c r="K59"/>
  <c r="AL59" s="1"/>
  <c r="BJ58"/>
  <c r="BF58"/>
  <c r="BD58"/>
  <c r="AW58"/>
  <c r="BC58" s="1"/>
  <c r="AP58"/>
  <c r="AX58" s="1"/>
  <c r="AO58"/>
  <c r="BH58" s="1"/>
  <c r="AF58" s="1"/>
  <c r="AK58"/>
  <c r="AJ58"/>
  <c r="AH58"/>
  <c r="AE58"/>
  <c r="AD58"/>
  <c r="AC58"/>
  <c r="AB58"/>
  <c r="Z58"/>
  <c r="M58"/>
  <c r="K58"/>
  <c r="AL58" s="1"/>
  <c r="J58"/>
  <c r="I58"/>
  <c r="BJ57"/>
  <c r="BD57"/>
  <c r="AP57"/>
  <c r="J57" s="1"/>
  <c r="AO57"/>
  <c r="BH57" s="1"/>
  <c r="AF57" s="1"/>
  <c r="AK57"/>
  <c r="AJ57"/>
  <c r="AH57"/>
  <c r="AE57"/>
  <c r="AD57"/>
  <c r="AC57"/>
  <c r="AB57"/>
  <c r="Z57"/>
  <c r="M57"/>
  <c r="BF57" s="1"/>
  <c r="K57"/>
  <c r="AL57" s="1"/>
  <c r="BJ56"/>
  <c r="BF56"/>
  <c r="BD56"/>
  <c r="AW56"/>
  <c r="AP56"/>
  <c r="AX56" s="1"/>
  <c r="AO56"/>
  <c r="BH56" s="1"/>
  <c r="AF56" s="1"/>
  <c r="AK56"/>
  <c r="AT54" s="1"/>
  <c r="AJ56"/>
  <c r="AH56"/>
  <c r="AE56"/>
  <c r="AD56"/>
  <c r="AC56"/>
  <c r="AB56"/>
  <c r="Z56"/>
  <c r="M56"/>
  <c r="K56"/>
  <c r="AL56" s="1"/>
  <c r="J56"/>
  <c r="I56"/>
  <c r="BJ55"/>
  <c r="BD55"/>
  <c r="AP55"/>
  <c r="J55" s="1"/>
  <c r="AO55"/>
  <c r="BH55" s="1"/>
  <c r="AF55" s="1"/>
  <c r="AK55"/>
  <c r="AJ55"/>
  <c r="AS54" s="1"/>
  <c r="AH55"/>
  <c r="AE55"/>
  <c r="AD55"/>
  <c r="AC55"/>
  <c r="AB55"/>
  <c r="Z55"/>
  <c r="M55"/>
  <c r="BF55" s="1"/>
  <c r="K55"/>
  <c r="AL55" s="1"/>
  <c r="BJ53"/>
  <c r="Z53" s="1"/>
  <c r="BD53"/>
  <c r="AP53"/>
  <c r="AX53" s="1"/>
  <c r="AO53"/>
  <c r="AW53" s="1"/>
  <c r="AK53"/>
  <c r="AT52" s="1"/>
  <c r="AJ53"/>
  <c r="AS52" s="1"/>
  <c r="AH53"/>
  <c r="AG53"/>
  <c r="AF53"/>
  <c r="AE53"/>
  <c r="AD53"/>
  <c r="AC53"/>
  <c r="AB53"/>
  <c r="M53"/>
  <c r="BF53" s="1"/>
  <c r="K53"/>
  <c r="AL53" s="1"/>
  <c r="AU52" s="1"/>
  <c r="I53"/>
  <c r="I52" s="1"/>
  <c r="M52"/>
  <c r="K52"/>
  <c r="BJ51"/>
  <c r="BF51"/>
  <c r="BD51"/>
  <c r="AP51"/>
  <c r="AX51" s="1"/>
  <c r="AO51"/>
  <c r="BH51" s="1"/>
  <c r="AB51" s="1"/>
  <c r="AK51"/>
  <c r="AT50" s="1"/>
  <c r="AJ51"/>
  <c r="AH51"/>
  <c r="AG51"/>
  <c r="AF51"/>
  <c r="AE51"/>
  <c r="AD51"/>
  <c r="Z51"/>
  <c r="M51"/>
  <c r="K51"/>
  <c r="K50" s="1"/>
  <c r="J51"/>
  <c r="J50" s="1"/>
  <c r="I51"/>
  <c r="I50" s="1"/>
  <c r="AS50"/>
  <c r="M50"/>
  <c r="BJ49"/>
  <c r="BF49"/>
  <c r="BD49"/>
  <c r="AW49"/>
  <c r="AP49"/>
  <c r="BI49" s="1"/>
  <c r="AC49" s="1"/>
  <c r="AO49"/>
  <c r="I49" s="1"/>
  <c r="I48" s="1"/>
  <c r="AK49"/>
  <c r="AJ49"/>
  <c r="AS48" s="1"/>
  <c r="AH49"/>
  <c r="AG49"/>
  <c r="AF49"/>
  <c r="AE49"/>
  <c r="AD49"/>
  <c r="Z49"/>
  <c r="M49"/>
  <c r="M48" s="1"/>
  <c r="K49"/>
  <c r="AL49" s="1"/>
  <c r="AU48" s="1"/>
  <c r="J49"/>
  <c r="AT48"/>
  <c r="J48"/>
  <c r="BJ47"/>
  <c r="BD47"/>
  <c r="AP47"/>
  <c r="J47" s="1"/>
  <c r="J46" s="1"/>
  <c r="AO47"/>
  <c r="BH47" s="1"/>
  <c r="AB47" s="1"/>
  <c r="AK47"/>
  <c r="AJ47"/>
  <c r="AS46" s="1"/>
  <c r="AH47"/>
  <c r="AG47"/>
  <c r="AF47"/>
  <c r="AE47"/>
  <c r="AD47"/>
  <c r="Z47"/>
  <c r="M47"/>
  <c r="BF47" s="1"/>
  <c r="K47"/>
  <c r="AL47" s="1"/>
  <c r="AU46" s="1"/>
  <c r="AT46"/>
  <c r="BJ45"/>
  <c r="BD45"/>
  <c r="AP45"/>
  <c r="AX45" s="1"/>
  <c r="AO45"/>
  <c r="AW45" s="1"/>
  <c r="AK45"/>
  <c r="AJ45"/>
  <c r="AH45"/>
  <c r="AG45"/>
  <c r="AF45"/>
  <c r="AE45"/>
  <c r="AD45"/>
  <c r="Z45"/>
  <c r="M45"/>
  <c r="BF45" s="1"/>
  <c r="K45"/>
  <c r="AL45" s="1"/>
  <c r="I45"/>
  <c r="BJ44"/>
  <c r="BF44"/>
  <c r="BD44"/>
  <c r="AX44"/>
  <c r="AW44"/>
  <c r="AP44"/>
  <c r="BI44" s="1"/>
  <c r="AC44" s="1"/>
  <c r="AO44"/>
  <c r="I44" s="1"/>
  <c r="AK44"/>
  <c r="AJ44"/>
  <c r="AH44"/>
  <c r="AG44"/>
  <c r="AF44"/>
  <c r="AE44"/>
  <c r="AD44"/>
  <c r="Z44"/>
  <c r="M44"/>
  <c r="K44"/>
  <c r="AL44" s="1"/>
  <c r="J44"/>
  <c r="BJ43"/>
  <c r="BD43"/>
  <c r="AP43"/>
  <c r="BI43" s="1"/>
  <c r="AC43" s="1"/>
  <c r="AO43"/>
  <c r="AW43" s="1"/>
  <c r="AK43"/>
  <c r="AJ43"/>
  <c r="AH43"/>
  <c r="AG43"/>
  <c r="AF43"/>
  <c r="AE43"/>
  <c r="AD43"/>
  <c r="Z43"/>
  <c r="M43"/>
  <c r="BF43" s="1"/>
  <c r="K43"/>
  <c r="AL43" s="1"/>
  <c r="BJ42"/>
  <c r="BF42"/>
  <c r="BD42"/>
  <c r="AP42"/>
  <c r="BI42" s="1"/>
  <c r="AC42" s="1"/>
  <c r="AO42"/>
  <c r="I42" s="1"/>
  <c r="AK42"/>
  <c r="AJ42"/>
  <c r="AH42"/>
  <c r="AG42"/>
  <c r="AF42"/>
  <c r="AE42"/>
  <c r="AD42"/>
  <c r="Z42"/>
  <c r="M42"/>
  <c r="K42"/>
  <c r="AL42" s="1"/>
  <c r="J42"/>
  <c r="BJ41"/>
  <c r="BD41"/>
  <c r="AP41"/>
  <c r="AX41" s="1"/>
  <c r="AO41"/>
  <c r="AW41" s="1"/>
  <c r="AK41"/>
  <c r="AJ41"/>
  <c r="AH41"/>
  <c r="AG41"/>
  <c r="AF41"/>
  <c r="AE41"/>
  <c r="AD41"/>
  <c r="Z41"/>
  <c r="M41"/>
  <c r="BF41" s="1"/>
  <c r="K41"/>
  <c r="AL41" s="1"/>
  <c r="I41"/>
  <c r="BJ40"/>
  <c r="BF40"/>
  <c r="BD40"/>
  <c r="AP40"/>
  <c r="BI40" s="1"/>
  <c r="AC40" s="1"/>
  <c r="AO40"/>
  <c r="I40" s="1"/>
  <c r="AK40"/>
  <c r="AJ40"/>
  <c r="AH40"/>
  <c r="AG40"/>
  <c r="AF40"/>
  <c r="AE40"/>
  <c r="AD40"/>
  <c r="Z40"/>
  <c r="M40"/>
  <c r="M39" s="1"/>
  <c r="K40"/>
  <c r="AL40" s="1"/>
  <c r="J40"/>
  <c r="BJ38"/>
  <c r="BD38"/>
  <c r="AX38"/>
  <c r="AP38"/>
  <c r="J38" s="1"/>
  <c r="AO38"/>
  <c r="AW38" s="1"/>
  <c r="AK38"/>
  <c r="AJ38"/>
  <c r="AH38"/>
  <c r="AG38"/>
  <c r="AF38"/>
  <c r="AE38"/>
  <c r="AD38"/>
  <c r="Z38"/>
  <c r="M38"/>
  <c r="BF38" s="1"/>
  <c r="K38"/>
  <c r="AL38" s="1"/>
  <c r="BJ37"/>
  <c r="BF37"/>
  <c r="BD37"/>
  <c r="AW37"/>
  <c r="BC37" s="1"/>
  <c r="AP37"/>
  <c r="AX37" s="1"/>
  <c r="AO37"/>
  <c r="BH37" s="1"/>
  <c r="AB37" s="1"/>
  <c r="AK37"/>
  <c r="AT36" s="1"/>
  <c r="AJ37"/>
  <c r="AS36" s="1"/>
  <c r="AH37"/>
  <c r="AG37"/>
  <c r="AF37"/>
  <c r="AE37"/>
  <c r="AD37"/>
  <c r="Z37"/>
  <c r="M37"/>
  <c r="K37"/>
  <c r="K36" s="1"/>
  <c r="J37"/>
  <c r="J36" s="1"/>
  <c r="I37"/>
  <c r="BJ35"/>
  <c r="BF35"/>
  <c r="BD35"/>
  <c r="AW35"/>
  <c r="AP35"/>
  <c r="BI35" s="1"/>
  <c r="AC35" s="1"/>
  <c r="AO35"/>
  <c r="I35" s="1"/>
  <c r="AK35"/>
  <c r="AJ35"/>
  <c r="AH35"/>
  <c r="AG35"/>
  <c r="AF35"/>
  <c r="AE35"/>
  <c r="AD35"/>
  <c r="Z35"/>
  <c r="M35"/>
  <c r="K35"/>
  <c r="K33" s="1"/>
  <c r="J35"/>
  <c r="BJ34"/>
  <c r="BD34"/>
  <c r="AP34"/>
  <c r="AX34" s="1"/>
  <c r="AO34"/>
  <c r="AW34" s="1"/>
  <c r="AK34"/>
  <c r="AT33" s="1"/>
  <c r="AJ34"/>
  <c r="AH34"/>
  <c r="AG34"/>
  <c r="AF34"/>
  <c r="AE34"/>
  <c r="AD34"/>
  <c r="Z34"/>
  <c r="M34"/>
  <c r="BF34" s="1"/>
  <c r="K34"/>
  <c r="AL34" s="1"/>
  <c r="I34"/>
  <c r="I33" s="1"/>
  <c r="M33"/>
  <c r="BJ32"/>
  <c r="BF32"/>
  <c r="BD32"/>
  <c r="AP32"/>
  <c r="AX32" s="1"/>
  <c r="AO32"/>
  <c r="BH32" s="1"/>
  <c r="AB32" s="1"/>
  <c r="AK32"/>
  <c r="AJ32"/>
  <c r="AH32"/>
  <c r="AG32"/>
  <c r="AF32"/>
  <c r="AE32"/>
  <c r="AD32"/>
  <c r="Z32"/>
  <c r="M32"/>
  <c r="K32"/>
  <c r="AL32" s="1"/>
  <c r="J32"/>
  <c r="I32"/>
  <c r="BJ31"/>
  <c r="BD31"/>
  <c r="AP31"/>
  <c r="J31" s="1"/>
  <c r="AO31"/>
  <c r="BH31" s="1"/>
  <c r="AB31" s="1"/>
  <c r="AK31"/>
  <c r="AJ31"/>
  <c r="AH31"/>
  <c r="AG31"/>
  <c r="AF31"/>
  <c r="AE31"/>
  <c r="AD31"/>
  <c r="Z31"/>
  <c r="M31"/>
  <c r="BF31" s="1"/>
  <c r="K31"/>
  <c r="AL31" s="1"/>
  <c r="BJ30"/>
  <c r="BF30"/>
  <c r="BD30"/>
  <c r="AP30"/>
  <c r="AX30" s="1"/>
  <c r="AO30"/>
  <c r="BH30" s="1"/>
  <c r="AB30" s="1"/>
  <c r="AK30"/>
  <c r="AJ30"/>
  <c r="AH30"/>
  <c r="AG30"/>
  <c r="AF30"/>
  <c r="AE30"/>
  <c r="AD30"/>
  <c r="Z30"/>
  <c r="M30"/>
  <c r="K30"/>
  <c r="K29" s="1"/>
  <c r="J30"/>
  <c r="I30"/>
  <c r="AS29"/>
  <c r="BJ28"/>
  <c r="BF28"/>
  <c r="BD28"/>
  <c r="AP28"/>
  <c r="BI28" s="1"/>
  <c r="AC28" s="1"/>
  <c r="AO28"/>
  <c r="I28" s="1"/>
  <c r="AK28"/>
  <c r="AJ28"/>
  <c r="AH28"/>
  <c r="AG28"/>
  <c r="AF28"/>
  <c r="AE28"/>
  <c r="AD28"/>
  <c r="Z28"/>
  <c r="M28"/>
  <c r="K28"/>
  <c r="AL28" s="1"/>
  <c r="J28"/>
  <c r="BJ27"/>
  <c r="BD27"/>
  <c r="AP27"/>
  <c r="AX27" s="1"/>
  <c r="AO27"/>
  <c r="AW27" s="1"/>
  <c r="AK27"/>
  <c r="AJ27"/>
  <c r="AH27"/>
  <c r="AG27"/>
  <c r="AF27"/>
  <c r="AE27"/>
  <c r="AD27"/>
  <c r="Z27"/>
  <c r="M27"/>
  <c r="BF27" s="1"/>
  <c r="K27"/>
  <c r="AL27" s="1"/>
  <c r="I27"/>
  <c r="BJ26"/>
  <c r="BF26"/>
  <c r="BD26"/>
  <c r="AX26"/>
  <c r="AW26"/>
  <c r="AP26"/>
  <c r="BI26" s="1"/>
  <c r="AC26" s="1"/>
  <c r="AO26"/>
  <c r="I26" s="1"/>
  <c r="AK26"/>
  <c r="AJ26"/>
  <c r="AH26"/>
  <c r="AG26"/>
  <c r="AF26"/>
  <c r="AE26"/>
  <c r="AD26"/>
  <c r="Z26"/>
  <c r="M26"/>
  <c r="K26"/>
  <c r="AL26" s="1"/>
  <c r="J26"/>
  <c r="BJ25"/>
  <c r="BD25"/>
  <c r="AP25"/>
  <c r="BI25" s="1"/>
  <c r="AC25" s="1"/>
  <c r="AO25"/>
  <c r="AW25" s="1"/>
  <c r="AK25"/>
  <c r="AJ25"/>
  <c r="AS24" s="1"/>
  <c r="AH25"/>
  <c r="AG25"/>
  <c r="AF25"/>
  <c r="AE25"/>
  <c r="AD25"/>
  <c r="Z25"/>
  <c r="M25"/>
  <c r="BF25" s="1"/>
  <c r="K25"/>
  <c r="AL25" s="1"/>
  <c r="I25"/>
  <c r="M24"/>
  <c r="BJ23"/>
  <c r="BF23"/>
  <c r="BD23"/>
  <c r="AP23"/>
  <c r="AX23" s="1"/>
  <c r="AO23"/>
  <c r="BH23" s="1"/>
  <c r="AB23" s="1"/>
  <c r="AK23"/>
  <c r="AT22" s="1"/>
  <c r="AJ23"/>
  <c r="AH23"/>
  <c r="AG23"/>
  <c r="AF23"/>
  <c r="AE23"/>
  <c r="AD23"/>
  <c r="Z23"/>
  <c r="M23"/>
  <c r="K23"/>
  <c r="K22" s="1"/>
  <c r="J23"/>
  <c r="J22" s="1"/>
  <c r="I23"/>
  <c r="I22" s="1"/>
  <c r="AS22"/>
  <c r="M22"/>
  <c r="BJ21"/>
  <c r="BF21"/>
  <c r="BD21"/>
  <c r="AW21"/>
  <c r="AP21"/>
  <c r="BI21" s="1"/>
  <c r="AC21" s="1"/>
  <c r="AO21"/>
  <c r="I21" s="1"/>
  <c r="AK21"/>
  <c r="AJ21"/>
  <c r="AH21"/>
  <c r="AG21"/>
  <c r="AF21"/>
  <c r="AE21"/>
  <c r="AD21"/>
  <c r="Z21"/>
  <c r="M21"/>
  <c r="K21"/>
  <c r="K19" s="1"/>
  <c r="J21"/>
  <c r="BJ20"/>
  <c r="BD20"/>
  <c r="AP20"/>
  <c r="AX20" s="1"/>
  <c r="AO20"/>
  <c r="AW20" s="1"/>
  <c r="AK20"/>
  <c r="AT19" s="1"/>
  <c r="AJ20"/>
  <c r="AH20"/>
  <c r="AG20"/>
  <c r="AF20"/>
  <c r="AE20"/>
  <c r="AD20"/>
  <c r="Z20"/>
  <c r="M20"/>
  <c r="BF20" s="1"/>
  <c r="K20"/>
  <c r="AL20" s="1"/>
  <c r="I20"/>
  <c r="M19"/>
  <c r="BJ18"/>
  <c r="BF18"/>
  <c r="BD18"/>
  <c r="AP18"/>
  <c r="AX18" s="1"/>
  <c r="AO18"/>
  <c r="BH18" s="1"/>
  <c r="AB18" s="1"/>
  <c r="AK18"/>
  <c r="AJ18"/>
  <c r="AH18"/>
  <c r="AG18"/>
  <c r="AF18"/>
  <c r="AE18"/>
  <c r="AD18"/>
  <c r="Z18"/>
  <c r="M18"/>
  <c r="K18"/>
  <c r="AL18" s="1"/>
  <c r="J18"/>
  <c r="I18"/>
  <c r="BJ17"/>
  <c r="BD17"/>
  <c r="AP17"/>
  <c r="J17" s="1"/>
  <c r="AO17"/>
  <c r="BH17" s="1"/>
  <c r="AB17" s="1"/>
  <c r="AK17"/>
  <c r="AJ17"/>
  <c r="AH17"/>
  <c r="AG17"/>
  <c r="AF17"/>
  <c r="AE17"/>
  <c r="AD17"/>
  <c r="Z17"/>
  <c r="M17"/>
  <c r="BF17" s="1"/>
  <c r="K17"/>
  <c r="AL17" s="1"/>
  <c r="BJ16"/>
  <c r="BF16"/>
  <c r="BD16"/>
  <c r="AP16"/>
  <c r="AX16" s="1"/>
  <c r="AO16"/>
  <c r="BH16" s="1"/>
  <c r="AB16" s="1"/>
  <c r="AK16"/>
  <c r="AJ16"/>
  <c r="AH16"/>
  <c r="AG16"/>
  <c r="AF16"/>
  <c r="AE16"/>
  <c r="AD16"/>
  <c r="Z16"/>
  <c r="M16"/>
  <c r="K16"/>
  <c r="AL16" s="1"/>
  <c r="J16"/>
  <c r="I16"/>
  <c r="BJ15"/>
  <c r="BD15"/>
  <c r="AP15"/>
  <c r="J15" s="1"/>
  <c r="J14" s="1"/>
  <c r="AO15"/>
  <c r="AW15" s="1"/>
  <c r="AK15"/>
  <c r="AJ15"/>
  <c r="AS14" s="1"/>
  <c r="AH15"/>
  <c r="AG15"/>
  <c r="AF15"/>
  <c r="AE15"/>
  <c r="AD15"/>
  <c r="Z15"/>
  <c r="M15"/>
  <c r="BF15" s="1"/>
  <c r="K15"/>
  <c r="AL15" s="1"/>
  <c r="K14"/>
  <c r="BJ13"/>
  <c r="BD13"/>
  <c r="AP13"/>
  <c r="AX13" s="1"/>
  <c r="AO13"/>
  <c r="AW13" s="1"/>
  <c r="AK13"/>
  <c r="AJ13"/>
  <c r="AH13"/>
  <c r="AG13"/>
  <c r="AF13"/>
  <c r="AE13"/>
  <c r="AD13"/>
  <c r="Z13"/>
  <c r="M13"/>
  <c r="BF13" s="1"/>
  <c r="K13"/>
  <c r="AL13" s="1"/>
  <c r="AU12" s="1"/>
  <c r="M12"/>
  <c r="AU1"/>
  <c r="AT1"/>
  <c r="AS1"/>
  <c r="BC26" l="1"/>
  <c r="AW23"/>
  <c r="BC23" s="1"/>
  <c r="BC21"/>
  <c r="AS19"/>
  <c r="AX21"/>
  <c r="AW18"/>
  <c r="BC18" s="1"/>
  <c r="AX17"/>
  <c r="AW16"/>
  <c r="BC16" s="1"/>
  <c r="AT14"/>
  <c r="AX15"/>
  <c r="K12"/>
  <c r="I13"/>
  <c r="I12" s="1"/>
  <c r="I78"/>
  <c r="AW78"/>
  <c r="I77"/>
  <c r="J76"/>
  <c r="AX76"/>
  <c r="AW76"/>
  <c r="AS75"/>
  <c r="K73"/>
  <c r="AX74"/>
  <c r="AW71"/>
  <c r="BC71" s="1"/>
  <c r="AX69"/>
  <c r="AW69"/>
  <c r="I68"/>
  <c r="I61" s="1"/>
  <c r="BC67"/>
  <c r="AX67"/>
  <c r="AW65"/>
  <c r="BC65" s="1"/>
  <c r="AT61"/>
  <c r="AS61"/>
  <c r="AX63"/>
  <c r="AW63"/>
  <c r="K61"/>
  <c r="AV60"/>
  <c r="J54"/>
  <c r="AW60"/>
  <c r="AV58"/>
  <c r="K54"/>
  <c r="AV56"/>
  <c r="AX57"/>
  <c r="AX55"/>
  <c r="AW51"/>
  <c r="AV51" s="1"/>
  <c r="BC49"/>
  <c r="AX49"/>
  <c r="K46"/>
  <c r="AX47"/>
  <c r="AT39"/>
  <c r="BC44"/>
  <c r="I43"/>
  <c r="I39" s="1"/>
  <c r="AS39"/>
  <c r="AX42"/>
  <c r="AW42"/>
  <c r="AX40"/>
  <c r="AV40" s="1"/>
  <c r="AW40"/>
  <c r="AV37"/>
  <c r="C17" i="2"/>
  <c r="C27"/>
  <c r="AS33" i="1"/>
  <c r="AX35"/>
  <c r="BC35" s="1"/>
  <c r="AW32"/>
  <c r="BC32" s="1"/>
  <c r="AT29"/>
  <c r="C16" i="2"/>
  <c r="C20"/>
  <c r="J29" i="1"/>
  <c r="AX31"/>
  <c r="AW30"/>
  <c r="BC30" s="1"/>
  <c r="AX28"/>
  <c r="AW28"/>
  <c r="C21" i="2"/>
  <c r="AT24" i="1"/>
  <c r="C28" i="2"/>
  <c r="F28" s="1"/>
  <c r="BC34" i="1"/>
  <c r="AV34"/>
  <c r="BC45"/>
  <c r="AV45"/>
  <c r="BC66"/>
  <c r="AV66"/>
  <c r="BC77"/>
  <c r="AV77"/>
  <c r="AU14"/>
  <c r="BC56"/>
  <c r="AU61"/>
  <c r="AU75"/>
  <c r="BC13"/>
  <c r="AV13"/>
  <c r="AV38"/>
  <c r="BC38"/>
  <c r="BC72"/>
  <c r="AV72"/>
  <c r="I19"/>
  <c r="AU24"/>
  <c r="BC51"/>
  <c r="AU54"/>
  <c r="AV15"/>
  <c r="BC15"/>
  <c r="BC20"/>
  <c r="AV20"/>
  <c r="BC27"/>
  <c r="AV27"/>
  <c r="BC41"/>
  <c r="AV41"/>
  <c r="BC53"/>
  <c r="AV53"/>
  <c r="BC70"/>
  <c r="AV70"/>
  <c r="I24"/>
  <c r="AU39"/>
  <c r="BC60"/>
  <c r="BH15"/>
  <c r="AB15" s="1"/>
  <c r="BI20"/>
  <c r="AC20" s="1"/>
  <c r="BI27"/>
  <c r="AC27" s="1"/>
  <c r="BI34"/>
  <c r="AC34" s="1"/>
  <c r="BH38"/>
  <c r="AB38" s="1"/>
  <c r="BI41"/>
  <c r="AC41" s="1"/>
  <c r="BI45"/>
  <c r="AC45" s="1"/>
  <c r="BI53"/>
  <c r="BI70"/>
  <c r="AG70" s="1"/>
  <c r="AS12"/>
  <c r="J13"/>
  <c r="J12" s="1"/>
  <c r="M14"/>
  <c r="I15"/>
  <c r="I14" s="1"/>
  <c r="BI15"/>
  <c r="AC15" s="1"/>
  <c r="I17"/>
  <c r="BI17"/>
  <c r="AC17" s="1"/>
  <c r="J20"/>
  <c r="J19" s="1"/>
  <c r="BH21"/>
  <c r="AB21" s="1"/>
  <c r="AL23"/>
  <c r="AU22" s="1"/>
  <c r="J25"/>
  <c r="BH26"/>
  <c r="AB26" s="1"/>
  <c r="J27"/>
  <c r="BH28"/>
  <c r="AB28" s="1"/>
  <c r="AL30"/>
  <c r="AU29" s="1"/>
  <c r="I31"/>
  <c r="I29" s="1"/>
  <c r="BI31"/>
  <c r="AC31" s="1"/>
  <c r="J34"/>
  <c r="J33" s="1"/>
  <c r="BH35"/>
  <c r="AB35" s="1"/>
  <c r="AL37"/>
  <c r="AU36" s="1"/>
  <c r="I38"/>
  <c r="I36" s="1"/>
  <c r="BI38"/>
  <c r="AC38" s="1"/>
  <c r="K39"/>
  <c r="BH40"/>
  <c r="AB40" s="1"/>
  <c r="J41"/>
  <c r="BH42"/>
  <c r="AB42" s="1"/>
  <c r="J43"/>
  <c r="BH44"/>
  <c r="AB44" s="1"/>
  <c r="J45"/>
  <c r="M46"/>
  <c r="I47"/>
  <c r="I46" s="1"/>
  <c r="BI47"/>
  <c r="AC47" s="1"/>
  <c r="K48"/>
  <c r="BH49"/>
  <c r="AB49" s="1"/>
  <c r="AL51"/>
  <c r="AU50" s="1"/>
  <c r="J53"/>
  <c r="J52" s="1"/>
  <c r="M54"/>
  <c r="I55"/>
  <c r="BI55"/>
  <c r="AG55" s="1"/>
  <c r="I57"/>
  <c r="BI57"/>
  <c r="AG57" s="1"/>
  <c r="I59"/>
  <c r="BI59"/>
  <c r="AG59" s="1"/>
  <c r="J62"/>
  <c r="BH63"/>
  <c r="AF63" s="1"/>
  <c r="J64"/>
  <c r="BH65"/>
  <c r="AF65" s="1"/>
  <c r="J66"/>
  <c r="BH67"/>
  <c r="AF67" s="1"/>
  <c r="J68"/>
  <c r="BH69"/>
  <c r="AF69" s="1"/>
  <c r="J70"/>
  <c r="BH71"/>
  <c r="AF71" s="1"/>
  <c r="J72"/>
  <c r="M73"/>
  <c r="I74"/>
  <c r="I73" s="1"/>
  <c r="BI74"/>
  <c r="K75"/>
  <c r="BH76"/>
  <c r="J77"/>
  <c r="AX78"/>
  <c r="AV78" s="1"/>
  <c r="F14" i="2"/>
  <c r="F22" s="1"/>
  <c r="AL21" i="1"/>
  <c r="AU19" s="1"/>
  <c r="AL35"/>
  <c r="AU33" s="1"/>
  <c r="AL63"/>
  <c r="BI66"/>
  <c r="AG66" s="1"/>
  <c r="BI72"/>
  <c r="AG72" s="1"/>
  <c r="BI77"/>
  <c r="BH13"/>
  <c r="AB13" s="1"/>
  <c r="BI16"/>
  <c r="AC16" s="1"/>
  <c r="AW17"/>
  <c r="BH20"/>
  <c r="AB20" s="1"/>
  <c r="AV21"/>
  <c r="BI23"/>
  <c r="AC23" s="1"/>
  <c r="K24"/>
  <c r="AX25"/>
  <c r="BC25" s="1"/>
  <c r="BH25"/>
  <c r="AB25" s="1"/>
  <c r="AV26"/>
  <c r="BH27"/>
  <c r="AB27" s="1"/>
  <c r="AV28"/>
  <c r="M29"/>
  <c r="BI30"/>
  <c r="AC30" s="1"/>
  <c r="AW31"/>
  <c r="BI32"/>
  <c r="AC32" s="1"/>
  <c r="BH34"/>
  <c r="AB34" s="1"/>
  <c r="AV35"/>
  <c r="M36"/>
  <c r="BI37"/>
  <c r="AC37" s="1"/>
  <c r="BH41"/>
  <c r="AB41" s="1"/>
  <c r="AV42"/>
  <c r="AX43"/>
  <c r="BC43" s="1"/>
  <c r="BH43"/>
  <c r="AB43" s="1"/>
  <c r="AV44"/>
  <c r="BH45"/>
  <c r="AB45" s="1"/>
  <c r="AW47"/>
  <c r="AV49"/>
  <c r="BI51"/>
  <c r="AC51" s="1"/>
  <c r="BH53"/>
  <c r="AW55"/>
  <c r="BI56"/>
  <c r="AG56" s="1"/>
  <c r="AW57"/>
  <c r="BI58"/>
  <c r="AG58" s="1"/>
  <c r="AW59"/>
  <c r="BI60"/>
  <c r="AG60" s="1"/>
  <c r="AX62"/>
  <c r="AV62" s="1"/>
  <c r="BH62"/>
  <c r="AF62" s="1"/>
  <c r="AV63"/>
  <c r="AX64"/>
  <c r="AV64" s="1"/>
  <c r="BH64"/>
  <c r="AF64" s="1"/>
  <c r="BH66"/>
  <c r="AF66" s="1"/>
  <c r="AV67"/>
  <c r="AX68"/>
  <c r="AV68" s="1"/>
  <c r="BH68"/>
  <c r="AF68" s="1"/>
  <c r="AV69"/>
  <c r="BH70"/>
  <c r="AF70" s="1"/>
  <c r="BH72"/>
  <c r="AF72" s="1"/>
  <c r="AW74"/>
  <c r="AV76"/>
  <c r="BH77"/>
  <c r="BI13"/>
  <c r="AC13" s="1"/>
  <c r="BI18"/>
  <c r="AC18" s="1"/>
  <c r="AT12"/>
  <c r="AV23" l="1"/>
  <c r="AV18"/>
  <c r="AV16"/>
  <c r="I75"/>
  <c r="BC76"/>
  <c r="J75"/>
  <c r="AV71"/>
  <c r="BC69"/>
  <c r="AV65"/>
  <c r="BC63"/>
  <c r="C18" i="2"/>
  <c r="K79" i="1"/>
  <c r="C19" i="2"/>
  <c r="BC42" i="1"/>
  <c r="BC40"/>
  <c r="AV32"/>
  <c r="AV30"/>
  <c r="C15" i="2"/>
  <c r="BC28" i="1"/>
  <c r="AV74"/>
  <c r="BC74"/>
  <c r="AV47"/>
  <c r="BC47"/>
  <c r="J61"/>
  <c r="AV43"/>
  <c r="BC62"/>
  <c r="BC68"/>
  <c r="BC64"/>
  <c r="AV25"/>
  <c r="AV59"/>
  <c r="BC59"/>
  <c r="C14" i="2"/>
  <c r="J39" i="1"/>
  <c r="I54"/>
  <c r="BC78"/>
  <c r="AV55"/>
  <c r="BC55"/>
  <c r="AV57"/>
  <c r="BC57"/>
  <c r="AV31"/>
  <c r="BC31"/>
  <c r="AV17"/>
  <c r="BC17"/>
  <c r="J24"/>
  <c r="C22" i="2" l="1"/>
  <c r="H21" i="3" s="1"/>
  <c r="I21" s="1"/>
  <c r="I14" i="2" s="1"/>
  <c r="C29" s="1"/>
  <c r="I27" i="3" l="1"/>
  <c r="F29" s="1"/>
  <c r="F29" i="2"/>
  <c r="I28"/>
  <c r="I29" l="1"/>
</calcChain>
</file>

<file path=xl/sharedStrings.xml><?xml version="1.0" encoding="utf-8"?>
<sst xmlns="http://schemas.openxmlformats.org/spreadsheetml/2006/main" count="1056" uniqueCount="320">
  <si>
    <t>Stavební rozpočet</t>
  </si>
  <si>
    <t>Název stavby:</t>
  </si>
  <si>
    <t>Nafukovací hala Dobříš</t>
  </si>
  <si>
    <t>Doba výstavby:</t>
  </si>
  <si>
    <t>31 dní</t>
  </si>
  <si>
    <t>Objednatel:</t>
  </si>
  <si>
    <t>Druh stavby:</t>
  </si>
  <si>
    <t>Stavební objekty pro nafukovací halu</t>
  </si>
  <si>
    <t>Začátek výstavby:</t>
  </si>
  <si>
    <t>01.07.2026</t>
  </si>
  <si>
    <t>Projektant:</t>
  </si>
  <si>
    <t>Lokalita:</t>
  </si>
  <si>
    <t>k. ú. Dobříš, p.č. 353/10, 353/50</t>
  </si>
  <si>
    <t>Konec výstavby:</t>
  </si>
  <si>
    <t>31.07.2026</t>
  </si>
  <si>
    <t>Zhotovitel:</t>
  </si>
  <si>
    <t>JKSO:</t>
  </si>
  <si>
    <t>8022191</t>
  </si>
  <si>
    <t>Zpracováno dne:</t>
  </si>
  <si>
    <t>05.03.2026</t>
  </si>
  <si>
    <t>Zpracoval:</t>
  </si>
  <si>
    <t>J. Šimonovský, 0000883</t>
  </si>
  <si>
    <t>Č</t>
  </si>
  <si>
    <t>Objekt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</si>
  <si>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</si>
  <si>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</si>
  <si>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</si>
  <si>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</si>
  <si>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</si>
  <si>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</si>
  <si>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</si>
  <si>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</si>
  <si>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</si>
  <si>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</si>
  <si>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VATTAX</t>
  </si>
  <si>
    <t xml:space="preserve"> 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</si>
  <si>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</si>
  <si>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</si>
  <si>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</si>
  <si>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</si>
  <si>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</si>
  <si>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</si>
  <si>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</si>
  <si>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</si>
  <si>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</si>
  <si>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</si>
  <si>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</si>
  <si>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</si>
  <si>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</si>
  <si>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</si>
  <si>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</si>
  <si>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</si>
  <si>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</si>
  <si>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</si>
  <si>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</si>
  <si>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</si>
  <si>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12</t>
  </si>
  <si>
    <t>Odkopávky a prokopávky</t>
  </si>
  <si>
    <t>1</t>
  </si>
  <si>
    <t>121101100R00</t>
  </si>
  <si>
    <t>Sejmutí ornice, pl. do 400 m2, přemístění do 50 m, tl. 250 mm, 104,5 m2</t>
  </si>
  <si>
    <t>m3</t>
  </si>
  <si>
    <t>RTS II / 2025</t>
  </si>
  <si>
    <t>12_</t>
  </si>
  <si>
    <t>_</t>
  </si>
  <si>
    <t>P</t>
  </si>
  <si>
    <t>13</t>
  </si>
  <si>
    <t>Hloubené vykopávky</t>
  </si>
  <si>
    <t>2</t>
  </si>
  <si>
    <t>132301110R00</t>
  </si>
  <si>
    <t>Hloubení patek š.do 60 cm v hor.4 do 50 m3,STROJNĚ, 6 x 0,6x0,6x1 + 12 x 0,4 x 0,4x1</t>
  </si>
  <si>
    <t>13_</t>
  </si>
  <si>
    <t>3</t>
  </si>
  <si>
    <t>132301119R00</t>
  </si>
  <si>
    <t>Přípl.za lepivost,hloubení  patek 60 cm,hor.4,STROJNĚ</t>
  </si>
  <si>
    <t>4</t>
  </si>
  <si>
    <t>Hloubení rýh š.do 60 cm v hor.4 do 50 m3,STROJNĚ, zákl. požá.í zeď - (7 +  2,67) x 0,4 x 1</t>
  </si>
  <si>
    <t>5</t>
  </si>
  <si>
    <t>Přípl.za lepivost,hloubení rýh 60 cm,hor.4,STROJNĚ</t>
  </si>
  <si>
    <t>16</t>
  </si>
  <si>
    <t>Přemístění výkopku</t>
  </si>
  <si>
    <t>6</t>
  </si>
  <si>
    <t>162401102R00</t>
  </si>
  <si>
    <t>Vodorovné přemístění výkopku z hor.1-4 do 2000 m, 2,51 + 4,08 + přebytek přípojky</t>
  </si>
  <si>
    <t>16_</t>
  </si>
  <si>
    <t>7</t>
  </si>
  <si>
    <t>167101101R00</t>
  </si>
  <si>
    <t>Nakládání výkopku z hor. 1 ÷ 4 v množství do 100 m3</t>
  </si>
  <si>
    <t>18</t>
  </si>
  <si>
    <t>Povrchové úpravy terénu</t>
  </si>
  <si>
    <t>8</t>
  </si>
  <si>
    <t>180402111R00</t>
  </si>
  <si>
    <t>Založení trávníku parkového výsevem v rovině, odhad výměry</t>
  </si>
  <si>
    <t>m2</t>
  </si>
  <si>
    <t>18_</t>
  </si>
  <si>
    <t>27</t>
  </si>
  <si>
    <t>Základy</t>
  </si>
  <si>
    <t>9</t>
  </si>
  <si>
    <t>274313621R00</t>
  </si>
  <si>
    <t>Beton základových pasů prostý C 20/25</t>
  </si>
  <si>
    <t>27_</t>
  </si>
  <si>
    <t>10</t>
  </si>
  <si>
    <t>275313621R00</t>
  </si>
  <si>
    <t>Beton základových patek prostý C 20/25</t>
  </si>
  <si>
    <t>11</t>
  </si>
  <si>
    <t>274351215R00</t>
  </si>
  <si>
    <t>Bednění stěn základových pasů, patek - zřízení</t>
  </si>
  <si>
    <t>274351216R00</t>
  </si>
  <si>
    <t>Bednění stěn základových pasů - odstranění</t>
  </si>
  <si>
    <t>31</t>
  </si>
  <si>
    <t>Zdi podpěrné a volné</t>
  </si>
  <si>
    <t>311112120RT3</t>
  </si>
  <si>
    <t>Stěna z tvárnic ztraceného bednění, tl. 200 mm, zalití tvárnic betonem C 20/25</t>
  </si>
  <si>
    <t>31_</t>
  </si>
  <si>
    <t>14</t>
  </si>
  <si>
    <t>311361821R00</t>
  </si>
  <si>
    <t>Výztuž nadzákladových zdí z betonářské oceli B500B (10 505) , ztracené bednění  R 10</t>
  </si>
  <si>
    <t>t</t>
  </si>
  <si>
    <t>15</t>
  </si>
  <si>
    <t>316121001R00</t>
  </si>
  <si>
    <t>Montáž  krycí desky požární zeď - vl. položka</t>
  </si>
  <si>
    <t>kus</t>
  </si>
  <si>
    <t>56</t>
  </si>
  <si>
    <t>Podkladní vrstvy komunikací, letišť a ploch</t>
  </si>
  <si>
    <t>564211111R00</t>
  </si>
  <si>
    <t>Podklad ze štěrkopísku po zhutnění tloušťky 5 cm, zámková dlažba</t>
  </si>
  <si>
    <t>56_</t>
  </si>
  <si>
    <t>17</t>
  </si>
  <si>
    <t>564831111RT3</t>
  </si>
  <si>
    <t>Podklad ze štěrkodrti po zhutnění tloušťky 10 cm, štěrkodrť frakce 0-45 mm</t>
  </si>
  <si>
    <t>59</t>
  </si>
  <si>
    <t>Kryty pozemních komunikací, letišť a ploch dlážděných (předlažby)</t>
  </si>
  <si>
    <t>596215021R00</t>
  </si>
  <si>
    <t>Kladení zámkové dlažby tl. 6 cm do drtě tl. 4 cm</t>
  </si>
  <si>
    <t>59_</t>
  </si>
  <si>
    <t>19</t>
  </si>
  <si>
    <t>596291111R00</t>
  </si>
  <si>
    <t>Řezání betonové dlažby tl. 60 mm</t>
  </si>
  <si>
    <t>m</t>
  </si>
  <si>
    <t>63</t>
  </si>
  <si>
    <t>Podlahy a podlahové konstrukce</t>
  </si>
  <si>
    <t>20</t>
  </si>
  <si>
    <t>631315621RM1</t>
  </si>
  <si>
    <t>Mazanina betonová tl. 12 - 24 cm C 20/25, 1,7 x 4,65 x 0,2</t>
  </si>
  <si>
    <t>63_</t>
  </si>
  <si>
    <t>21</t>
  </si>
  <si>
    <t>631319155R00</t>
  </si>
  <si>
    <t>Příplatek za přehlaz. mazanin pod povlaky tl. 24cm</t>
  </si>
  <si>
    <t>22</t>
  </si>
  <si>
    <t>631361921R00</t>
  </si>
  <si>
    <t>Výztuž mazanin svařovanou sítí  8/150/150</t>
  </si>
  <si>
    <t>23</t>
  </si>
  <si>
    <t>631571001R00</t>
  </si>
  <si>
    <t>Násyp z kameniva těženého 0 - 4, zpevňující, podklad pod beton - 1,7 x 4,65 x 0,05</t>
  </si>
  <si>
    <t>24</t>
  </si>
  <si>
    <t>631351101R00</t>
  </si>
  <si>
    <t>Bednění stěn, rýh a otvorů v podlahách - zřízení</t>
  </si>
  <si>
    <t>25</t>
  </si>
  <si>
    <t>631351102R00</t>
  </si>
  <si>
    <t>Bednění stěn, rýh a otvorů v podlahách -odstranění</t>
  </si>
  <si>
    <t>87</t>
  </si>
  <si>
    <t>Potrubí z trub plastických, skleněných a čedičových</t>
  </si>
  <si>
    <t>26</t>
  </si>
  <si>
    <t>871161121R00</t>
  </si>
  <si>
    <t>Montáž trubek polyetylenových ve výkopu d 32 mm, NTL plyn</t>
  </si>
  <si>
    <t>87_</t>
  </si>
  <si>
    <t>90</t>
  </si>
  <si>
    <t>Hodinové zúčtovací sazby (HZS)</t>
  </si>
  <si>
    <t>900100002RBA</t>
  </si>
  <si>
    <t>Oplocení z poplastovaného pletiva, ocelové sloupky, vrátka - 10 mb</t>
  </si>
  <si>
    <t>100 m</t>
  </si>
  <si>
    <t>90_</t>
  </si>
  <si>
    <t>91</t>
  </si>
  <si>
    <t>Doplňující konstrukce a práce na pozemních komunikacích a zpevněných plochách</t>
  </si>
  <si>
    <t>28</t>
  </si>
  <si>
    <t>916561111RT4</t>
  </si>
  <si>
    <t>Osazení záhon.obrubníků do lože z C 12/15 s opěrou vč. dodávky</t>
  </si>
  <si>
    <t>91_</t>
  </si>
  <si>
    <t>H22</t>
  </si>
  <si>
    <t>Komunikace pozemní a letiště</t>
  </si>
  <si>
    <t>29</t>
  </si>
  <si>
    <t>998222012R00</t>
  </si>
  <si>
    <t>Přesun hmot, zpevněné plochy, kryt z kameniva</t>
  </si>
  <si>
    <t>H22_</t>
  </si>
  <si>
    <t>M21</t>
  </si>
  <si>
    <t>Elektromontáže</t>
  </si>
  <si>
    <t>30</t>
  </si>
  <si>
    <t>210040512R00</t>
  </si>
  <si>
    <t>Ukončení vodičů svorkováním</t>
  </si>
  <si>
    <t>M21_</t>
  </si>
  <si>
    <t>210100003R00</t>
  </si>
  <si>
    <t>Ukončení vodičů v rozvaděči + zapojení do 16 mm2</t>
  </si>
  <si>
    <t>32</t>
  </si>
  <si>
    <t>210220002RT2</t>
  </si>
  <si>
    <t>Vedení uzemňovací na povrchu FeZn D 10 mm</t>
  </si>
  <si>
    <t>33</t>
  </si>
  <si>
    <t>210220022RT1</t>
  </si>
  <si>
    <t>Vedení uzemňovací v zemi FeZn, D 8 - 10 mm</t>
  </si>
  <si>
    <t>34</t>
  </si>
  <si>
    <t>210800133RT1</t>
  </si>
  <si>
    <t>Kabel CYKY 750 V 4x10 mm2  volně, 29,5 + 4</t>
  </si>
  <si>
    <t>35</t>
  </si>
  <si>
    <t>210010028R00</t>
  </si>
  <si>
    <t>Trubka ohebná z PVC volně, vnější průměr 38 mm - ROT přípojka N.N.</t>
  </si>
  <si>
    <t>M46</t>
  </si>
  <si>
    <t>Zemní práce při montážích</t>
  </si>
  <si>
    <t>36</t>
  </si>
  <si>
    <t>460030001RT2</t>
  </si>
  <si>
    <t>Sejmutí ornice vrstvy do 15 cm se zeminou tř.1 - rýhy elektro, plyn</t>
  </si>
  <si>
    <t>M46_</t>
  </si>
  <si>
    <t>37</t>
  </si>
  <si>
    <t>460200034RT2</t>
  </si>
  <si>
    <t>Výkop kabelové rýhy 20/80 cm, hornina 4</t>
  </si>
  <si>
    <t>38</t>
  </si>
  <si>
    <t>460200174RT2</t>
  </si>
  <si>
    <t>Výkop NTL  rýhy 35/90 cm  hor.4</t>
  </si>
  <si>
    <t>39</t>
  </si>
  <si>
    <t>460420014RT3</t>
  </si>
  <si>
    <t>Zřízení kabelového lože v rýze š.do 25 cm z písku</t>
  </si>
  <si>
    <t>40</t>
  </si>
  <si>
    <t>460420018R00</t>
  </si>
  <si>
    <t>Zřízení NTL lože v rýze š.do 35 cm z písku</t>
  </si>
  <si>
    <t>41</t>
  </si>
  <si>
    <t>460490012R00</t>
  </si>
  <si>
    <t>Fólie výstražná z PVC, šířka 33 cm, N.N. přípojka</t>
  </si>
  <si>
    <t>42</t>
  </si>
  <si>
    <t>460490012RT1</t>
  </si>
  <si>
    <t>Fólie výstražná z PVC, šířka 33 cm, NTL plyn</t>
  </si>
  <si>
    <t>43</t>
  </si>
  <si>
    <t>460560004RT1</t>
  </si>
  <si>
    <t>Zához rýhy 20/50 cm, hornina třídy 4</t>
  </si>
  <si>
    <t>44</t>
  </si>
  <si>
    <t>460560154R00</t>
  </si>
  <si>
    <t>Zához rýhy 35/70 cm, hornina třídy 4</t>
  </si>
  <si>
    <t>45</t>
  </si>
  <si>
    <t>460600001RT3</t>
  </si>
  <si>
    <t>Naložení a odvoz zeminy do 5000 m  - 29,5 x0,2x0,25 +11,8 x0,35x0,25</t>
  </si>
  <si>
    <t>46</t>
  </si>
  <si>
    <t>460680022R00</t>
  </si>
  <si>
    <t>Průraz zdivem v cihlové zdi tloušťky 30 cm - pilíř elektro</t>
  </si>
  <si>
    <t>S</t>
  </si>
  <si>
    <t>Přesuny sutí</t>
  </si>
  <si>
    <t>47</t>
  </si>
  <si>
    <t>979999973R00</t>
  </si>
  <si>
    <t>Poplatek za uložení, zemina a kamení, (skup.170504) (A kvalita), 10,46 x 1,8</t>
  </si>
  <si>
    <t>S_</t>
  </si>
  <si>
    <t>M</t>
  </si>
  <si>
    <t>Ostatní materiál</t>
  </si>
  <si>
    <t>48</t>
  </si>
  <si>
    <t>286136362</t>
  </si>
  <si>
    <t>Trubka plynová GASLINE RC ROBUST PE 100, rozměr 32 x 3,0 mm, SDR 11</t>
  </si>
  <si>
    <t>0</t>
  </si>
  <si>
    <t>Z99999_</t>
  </si>
  <si>
    <t>Z_</t>
  </si>
  <si>
    <t>49</t>
  </si>
  <si>
    <t>592453093</t>
  </si>
  <si>
    <t>Dlažba betonová BEST KLASIKO Standard rovná 200 x 100 x 60 mm, barevná</t>
  </si>
  <si>
    <t>50</t>
  </si>
  <si>
    <t>592450011</t>
  </si>
  <si>
    <t>Stříška betonová  profilovaná 497 x 245 mm</t>
  </si>
  <si>
    <t>Celkem:</t>
  </si>
  <si>
    <t>Poznámka: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</si>
  <si>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</si>
  <si>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</si>
  <si>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</si>
  <si>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</si>
  <si>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</si>
  <si>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</si>
  <si>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</si>
  <si>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</si>
  <si>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</si>
  <si>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</si>
  <si>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</si>
  <si>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</si>
  <si>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</si>
  <si>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</si>
  <si>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</si>
  <si>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</si>
  <si>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</si>
  <si>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</si>
  <si>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</si>
  <si>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</si>
  <si>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</si>
  <si>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</si>
  <si>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</si>
  <si>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</si>
  <si>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</si>
  <si>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</si>
  <si>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</si>
  <si>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</si>
  <si>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</si>
  <si>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</si>
  <si>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</si>
  <si>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</si>
  <si>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</si>
  <si>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</si>
  <si>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</si>
  <si>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</si>
  <si>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</si>
  <si>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</si>
  <si>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</si>
  <si>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</si>
  <si>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</si>
  <si>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</si>
  <si>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</si>
  <si>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</si>
  <si>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</si>
  <si>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</si>
  <si>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</si>
  <si>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</si>
  <si>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</si>
  <si>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</si>
  <si>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</si>
  <si>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</si>
  <si>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</si>
  <si>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t>Město Dobříš</t>
  </si>
  <si>
    <t>Josef Šimonovský</t>
  </si>
  <si>
    <t>výběrové řízení</t>
  </si>
  <si>
    <t>Základ 12%</t>
  </si>
  <si>
    <t>DPH 12%</t>
  </si>
</sst>
</file>

<file path=xl/styles.xml><?xml version="1.0" encoding="utf-8"?>
<styleSheet xmlns="http://schemas.openxmlformats.org/spreadsheetml/2006/main">
  <fonts count="10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2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3" fillId="2" borderId="32" xfId="0" applyNumberFormat="1" applyFont="1" applyFill="1" applyBorder="1" applyAlignment="1" applyProtection="1">
      <alignment horizontal="left" vertical="center"/>
    </xf>
    <xf numFmtId="0" fontId="2" fillId="2" borderId="33" xfId="0" applyNumberFormat="1" applyFont="1" applyFill="1" applyBorder="1" applyAlignment="1" applyProtection="1">
      <alignment horizontal="left" vertical="center"/>
    </xf>
    <xf numFmtId="0" fontId="3" fillId="2" borderId="33" xfId="0" applyNumberFormat="1" applyFont="1" applyFill="1" applyBorder="1" applyAlignment="1" applyProtection="1">
      <alignment horizontal="left" vertical="center"/>
    </xf>
    <xf numFmtId="4" fontId="2" fillId="2" borderId="33" xfId="0" applyNumberFormat="1" applyFont="1" applyFill="1" applyBorder="1" applyAlignment="1" applyProtection="1">
      <alignment horizontal="right" vertical="center"/>
    </xf>
    <xf numFmtId="0" fontId="2" fillId="2" borderId="33" xfId="0" applyNumberFormat="1" applyFont="1" applyFill="1" applyBorder="1" applyAlignment="1" applyProtection="1">
      <alignment horizontal="right" vertical="center"/>
    </xf>
    <xf numFmtId="0" fontId="2" fillId="2" borderId="34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3" fillId="0" borderId="35" xfId="0" applyNumberFormat="1" applyFont="1" applyFill="1" applyBorder="1" applyAlignment="1" applyProtection="1">
      <alignment horizontal="left" vertical="center"/>
    </xf>
    <xf numFmtId="0" fontId="3" fillId="0" borderId="36" xfId="0" applyNumberFormat="1" applyFont="1" applyFill="1" applyBorder="1" applyAlignment="1" applyProtection="1">
      <alignment horizontal="left" vertical="center"/>
    </xf>
    <xf numFmtId="4" fontId="3" fillId="0" borderId="36" xfId="0" applyNumberFormat="1" applyFont="1" applyFill="1" applyBorder="1" applyAlignment="1" applyProtection="1">
      <alignment horizontal="right" vertical="center"/>
    </xf>
    <xf numFmtId="0" fontId="3" fillId="0" borderId="37" xfId="0" applyNumberFormat="1" applyFont="1" applyFill="1" applyBorder="1" applyAlignment="1" applyProtection="1">
      <alignment horizontal="right" vertical="center"/>
    </xf>
    <xf numFmtId="4" fontId="2" fillId="0" borderId="38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2" borderId="40" xfId="0" applyNumberFormat="1" applyFont="1" applyFill="1" applyBorder="1" applyAlignment="1" applyProtection="1">
      <alignment horizontal="center" vertical="center"/>
    </xf>
    <xf numFmtId="0" fontId="6" fillId="2" borderId="43" xfId="0" applyNumberFormat="1" applyFont="1" applyFill="1" applyBorder="1" applyAlignment="1" applyProtection="1">
      <alignment horizontal="center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9" fillId="0" borderId="45" xfId="0" applyNumberFormat="1" applyFont="1" applyFill="1" applyBorder="1" applyAlignment="1" applyProtection="1">
      <alignment horizontal="left" vertical="center"/>
    </xf>
    <xf numFmtId="4" fontId="9" fillId="0" borderId="45" xfId="0" applyNumberFormat="1" applyFont="1" applyFill="1" applyBorder="1" applyAlignment="1" applyProtection="1">
      <alignment horizontal="righ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9" fillId="0" borderId="45" xfId="0" applyNumberFormat="1" applyFont="1" applyFill="1" applyBorder="1" applyAlignment="1" applyProtection="1">
      <alignment horizontal="right" vertical="center"/>
    </xf>
    <xf numFmtId="4" fontId="9" fillId="0" borderId="52" xfId="0" applyNumberFormat="1" applyFont="1" applyFill="1" applyBorder="1" applyAlignment="1" applyProtection="1">
      <alignment horizontal="right" vertical="center"/>
    </xf>
    <xf numFmtId="0" fontId="9" fillId="0" borderId="52" xfId="0" applyNumberFormat="1" applyFont="1" applyFill="1" applyBorder="1" applyAlignment="1" applyProtection="1">
      <alignment horizontal="right" vertical="center"/>
    </xf>
    <xf numFmtId="4" fontId="9" fillId="0" borderId="43" xfId="0" applyNumberFormat="1" applyFont="1" applyFill="1" applyBorder="1" applyAlignment="1" applyProtection="1">
      <alignment horizontal="right" vertical="center"/>
    </xf>
    <xf numFmtId="4" fontId="9" fillId="0" borderId="27" xfId="0" applyNumberFormat="1" applyFont="1" applyFill="1" applyBorder="1" applyAlignment="1" applyProtection="1">
      <alignment horizontal="right" vertical="center"/>
    </xf>
    <xf numFmtId="4" fontId="8" fillId="2" borderId="42" xfId="0" applyNumberFormat="1" applyFont="1" applyFill="1" applyBorder="1" applyAlignment="1" applyProtection="1">
      <alignment horizontal="right" vertical="center"/>
    </xf>
    <xf numFmtId="4" fontId="8" fillId="2" borderId="47" xfId="0" applyNumberFormat="1" applyFont="1" applyFill="1" applyBorder="1" applyAlignment="1" applyProtection="1">
      <alignment horizontal="right" vertical="center"/>
    </xf>
    <xf numFmtId="0" fontId="4" fillId="0" borderId="33" xfId="0" applyNumberFormat="1" applyFont="1" applyFill="1" applyBorder="1" applyAlignment="1" applyProtection="1">
      <alignment horizontal="left" vertical="center"/>
    </xf>
    <xf numFmtId="0" fontId="2" fillId="0" borderId="68" xfId="0" applyNumberFormat="1" applyFont="1" applyFill="1" applyBorder="1" applyAlignment="1" applyProtection="1">
      <alignment horizontal="right" vertical="center"/>
    </xf>
    <xf numFmtId="4" fontId="3" fillId="0" borderId="45" xfId="0" applyNumberFormat="1" applyFont="1" applyFill="1" applyBorder="1" applyAlignment="1" applyProtection="1">
      <alignment horizontal="right" vertical="center"/>
    </xf>
    <xf numFmtId="0" fontId="3" fillId="0" borderId="45" xfId="0" applyNumberFormat="1" applyFont="1" applyFill="1" applyBorder="1" applyAlignment="1" applyProtection="1">
      <alignment horizontal="left" vertical="center"/>
    </xf>
    <xf numFmtId="4" fontId="3" fillId="0" borderId="72" xfId="0" applyNumberFormat="1" applyFont="1" applyFill="1" applyBorder="1" applyAlignment="1" applyProtection="1">
      <alignment horizontal="righ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right" vertical="center"/>
    </xf>
    <xf numFmtId="4" fontId="2" fillId="0" borderId="76" xfId="0" applyNumberFormat="1" applyFont="1" applyFill="1" applyBorder="1" applyAlignment="1" applyProtection="1">
      <alignment horizontal="right" vertical="center"/>
    </xf>
    <xf numFmtId="0" fontId="2" fillId="0" borderId="38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0" borderId="36" xfId="0" applyNumberFormat="1" applyFont="1" applyFill="1" applyBorder="1" applyAlignment="1" applyProtection="1">
      <alignment horizontal="left" vertical="center" wrapText="1"/>
    </xf>
    <xf numFmtId="0" fontId="3" fillId="0" borderId="36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4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2" borderId="33" xfId="0" applyNumberFormat="1" applyFont="1" applyFill="1" applyBorder="1" applyAlignment="1" applyProtection="1">
      <alignment horizontal="left" vertical="center" wrapText="1"/>
    </xf>
    <xf numFmtId="0" fontId="2" fillId="2" borderId="33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9" fillId="0" borderId="60" xfId="0" applyNumberFormat="1" applyFont="1" applyFill="1" applyBorder="1" applyAlignment="1" applyProtection="1">
      <alignment horizontal="left" vertical="center"/>
    </xf>
    <xf numFmtId="0" fontId="9" fillId="0" borderId="58" xfId="0" applyNumberFormat="1" applyFont="1" applyFill="1" applyBorder="1" applyAlignment="1" applyProtection="1">
      <alignment horizontal="left" vertical="center"/>
    </xf>
    <xf numFmtId="0" fontId="9" fillId="0" borderId="59" xfId="0" applyNumberFormat="1" applyFont="1" applyFill="1" applyBorder="1" applyAlignment="1" applyProtection="1">
      <alignment horizontal="left" vertical="center"/>
    </xf>
    <xf numFmtId="0" fontId="9" fillId="0" borderId="6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62" xfId="0" applyNumberFormat="1" applyFont="1" applyFill="1" applyBorder="1" applyAlignment="1" applyProtection="1">
      <alignment horizontal="left" vertical="center"/>
    </xf>
    <xf numFmtId="0" fontId="9" fillId="0" borderId="67" xfId="0" applyNumberFormat="1" applyFont="1" applyFill="1" applyBorder="1" applyAlignment="1" applyProtection="1">
      <alignment horizontal="left" vertical="center"/>
    </xf>
    <xf numFmtId="0" fontId="9" fillId="0" borderId="65" xfId="0" applyNumberFormat="1" applyFont="1" applyFill="1" applyBorder="1" applyAlignment="1" applyProtection="1">
      <alignment horizontal="left" vertical="center"/>
    </xf>
    <xf numFmtId="0" fontId="9" fillId="0" borderId="66" xfId="0" applyNumberFormat="1" applyFont="1" applyFill="1" applyBorder="1" applyAlignment="1" applyProtection="1">
      <alignment horizontal="left" vertical="center"/>
    </xf>
    <xf numFmtId="0" fontId="9" fillId="0" borderId="57" xfId="0" applyNumberFormat="1" applyFont="1" applyFill="1" applyBorder="1" applyAlignment="1" applyProtection="1">
      <alignment horizontal="left" vertical="center"/>
    </xf>
    <xf numFmtId="0" fontId="9" fillId="0" borderId="61" xfId="0" applyNumberFormat="1" applyFont="1" applyFill="1" applyBorder="1" applyAlignment="1" applyProtection="1">
      <alignment horizontal="left" vertical="center"/>
    </xf>
    <xf numFmtId="0" fontId="9" fillId="0" borderId="64" xfId="0" applyNumberFormat="1" applyFont="1" applyFill="1" applyBorder="1" applyAlignment="1" applyProtection="1">
      <alignment horizontal="left" vertical="center"/>
    </xf>
    <xf numFmtId="0" fontId="8" fillId="0" borderId="49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left" vertical="center"/>
    </xf>
    <xf numFmtId="0" fontId="8" fillId="2" borderId="55" xfId="0" applyNumberFormat="1" applyFont="1" applyFill="1" applyBorder="1" applyAlignment="1" applyProtection="1">
      <alignment horizontal="left" vertical="center"/>
    </xf>
    <xf numFmtId="0" fontId="8" fillId="2" borderId="49" xfId="0" applyNumberFormat="1" applyFont="1" applyFill="1" applyBorder="1" applyAlignment="1" applyProtection="1">
      <alignment horizontal="left" vertical="center"/>
    </xf>
    <xf numFmtId="0" fontId="8" fillId="2" borderId="56" xfId="0" applyNumberFormat="1" applyFont="1" applyFill="1" applyBorder="1" applyAlignment="1" applyProtection="1">
      <alignment horizontal="left" vertical="center"/>
    </xf>
    <xf numFmtId="0" fontId="8" fillId="2" borderId="41" xfId="0" applyNumberFormat="1" applyFont="1" applyFill="1" applyBorder="1" applyAlignment="1" applyProtection="1">
      <alignment horizontal="left" vertical="center"/>
    </xf>
    <xf numFmtId="0" fontId="8" fillId="2" borderId="46" xfId="0" applyNumberFormat="1" applyFont="1" applyFill="1" applyBorder="1" applyAlignment="1" applyProtection="1">
      <alignment horizontal="left" vertical="center"/>
    </xf>
    <xf numFmtId="0" fontId="9" fillId="0" borderId="46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left" vertical="center"/>
    </xf>
    <xf numFmtId="0" fontId="9" fillId="0" borderId="53" xfId="0" applyNumberFormat="1" applyFont="1" applyFill="1" applyBorder="1" applyAlignment="1" applyProtection="1">
      <alignment horizontal="left" vertical="center"/>
    </xf>
    <xf numFmtId="0" fontId="9" fillId="0" borderId="51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50" xfId="0" applyNumberFormat="1" applyFont="1" applyFill="1" applyBorder="1" applyAlignment="1" applyProtection="1">
      <alignment horizontal="left" vertical="center"/>
    </xf>
    <xf numFmtId="0" fontId="8" fillId="0" borderId="51" xfId="0" applyNumberFormat="1" applyFont="1" applyFill="1" applyBorder="1" applyAlignment="1" applyProtection="1">
      <alignment horizontal="left" vertical="center"/>
    </xf>
    <xf numFmtId="0" fontId="8" fillId="0" borderId="5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37" xfId="0" applyNumberFormat="1" applyFont="1" applyFill="1" applyBorder="1" applyAlignment="1" applyProtection="1">
      <alignment horizontal="left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left" vertical="center"/>
    </xf>
    <xf numFmtId="0" fontId="7" fillId="0" borderId="42" xfId="0" applyNumberFormat="1" applyFont="1" applyFill="1" applyBorder="1" applyAlignment="1" applyProtection="1">
      <alignment horizontal="left" vertical="center"/>
    </xf>
    <xf numFmtId="0" fontId="3" fillId="0" borderId="35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left" vertical="center"/>
    </xf>
    <xf numFmtId="0" fontId="2" fillId="0" borderId="73" xfId="0" applyNumberFormat="1" applyFont="1" applyFill="1" applyBorder="1" applyAlignment="1" applyProtection="1">
      <alignment horizontal="left" vertical="center"/>
    </xf>
    <xf numFmtId="0" fontId="2" fillId="0" borderId="74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8" fillId="0" borderId="73" xfId="0" applyNumberFormat="1" applyFont="1" applyFill="1" applyBorder="1" applyAlignment="1" applyProtection="1">
      <alignment horizontal="left" vertical="center"/>
    </xf>
    <xf numFmtId="0" fontId="8" fillId="0" borderId="74" xfId="0" applyNumberFormat="1" applyFont="1" applyFill="1" applyBorder="1" applyAlignment="1" applyProtection="1">
      <alignment horizontal="left" vertical="center"/>
    </xf>
    <xf numFmtId="0" fontId="8" fillId="0" borderId="75" xfId="0" applyNumberFormat="1" applyFont="1" applyFill="1" applyBorder="1" applyAlignment="1" applyProtection="1">
      <alignment horizontal="left" vertical="center"/>
    </xf>
    <xf numFmtId="4" fontId="8" fillId="0" borderId="77" xfId="0" applyNumberFormat="1" applyFont="1" applyFill="1" applyBorder="1" applyAlignment="1" applyProtection="1">
      <alignment horizontal="right" vertical="center"/>
    </xf>
    <xf numFmtId="0" fontId="8" fillId="0" borderId="74" xfId="0" applyNumberFormat="1" applyFont="1" applyFill="1" applyBorder="1" applyAlignment="1" applyProtection="1">
      <alignment horizontal="right" vertical="center"/>
    </xf>
    <xf numFmtId="0" fontId="8" fillId="0" borderId="75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69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0" fontId="3" fillId="0" borderId="56" xfId="0" applyNumberFormat="1" applyFont="1" applyFill="1" applyBorder="1" applyAlignment="1" applyProtection="1">
      <alignment horizontal="left" vertical="center"/>
    </xf>
    <xf numFmtId="0" fontId="3" fillId="0" borderId="47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47625" cy="0"/>
    <xdr:pic>
      <xdr:nvPicPr>
        <xdr:cNvPr id="2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0" y="0"/>
          <a:ext cx="47625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 flipV="1"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429496729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1"/>
  <sheetViews>
    <sheetView workbookViewId="0">
      <pane ySplit="11" topLeftCell="A12" activePane="bottomLeft" state="frozen"/>
      <selection pane="bottomLeft" activeCell="H27" sqref="H27"/>
    </sheetView>
  </sheetViews>
  <sheetFormatPr defaultColWidth="12.140625" defaultRowHeight="15" customHeight="1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35.7109375" customWidth="1"/>
    <col min="6" max="6" width="6" customWidth="1"/>
    <col min="7" max="7" width="12.85546875" customWidth="1"/>
    <col min="8" max="8" width="12" customWidth="1"/>
    <col min="9" max="11" width="15.7109375" customWidth="1"/>
    <col min="12" max="13" width="11.7109375" customWidth="1"/>
    <col min="14" max="14" width="13.42578125" customWidth="1"/>
    <col min="25" max="75" width="12.140625" hidden="1"/>
    <col min="76" max="76" width="64.28515625" hidden="1" customWidth="1"/>
    <col min="77" max="78" width="12.140625" hidden="1"/>
  </cols>
  <sheetData>
    <row r="1" spans="1:76" ht="54.7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>
      <c r="A2" s="86" t="s">
        <v>1</v>
      </c>
      <c r="B2" s="78"/>
      <c r="C2" s="78"/>
      <c r="D2" s="91" t="s">
        <v>2</v>
      </c>
      <c r="E2" s="92"/>
      <c r="F2" s="78" t="s">
        <v>3</v>
      </c>
      <c r="G2" s="78"/>
      <c r="H2" s="78" t="s">
        <v>4</v>
      </c>
      <c r="I2" s="90" t="s">
        <v>5</v>
      </c>
      <c r="J2" s="78" t="s">
        <v>315</v>
      </c>
      <c r="K2" s="78"/>
      <c r="L2" s="78"/>
      <c r="M2" s="78"/>
      <c r="N2" s="79"/>
    </row>
    <row r="3" spans="1:76">
      <c r="A3" s="87"/>
      <c r="B3" s="64"/>
      <c r="C3" s="64"/>
      <c r="D3" s="93"/>
      <c r="E3" s="93"/>
      <c r="F3" s="64"/>
      <c r="G3" s="64"/>
      <c r="H3" s="64"/>
      <c r="I3" s="64"/>
      <c r="J3" s="64"/>
      <c r="K3" s="64"/>
      <c r="L3" s="64"/>
      <c r="M3" s="64"/>
      <c r="N3" s="80"/>
    </row>
    <row r="4" spans="1:76">
      <c r="A4" s="88" t="s">
        <v>6</v>
      </c>
      <c r="B4" s="64"/>
      <c r="C4" s="64"/>
      <c r="D4" s="63" t="s">
        <v>7</v>
      </c>
      <c r="E4" s="64"/>
      <c r="F4" s="64" t="s">
        <v>8</v>
      </c>
      <c r="G4" s="64"/>
      <c r="H4" s="64" t="s">
        <v>9</v>
      </c>
      <c r="I4" s="63" t="s">
        <v>10</v>
      </c>
      <c r="J4" s="64" t="s">
        <v>316</v>
      </c>
      <c r="K4" s="64"/>
      <c r="L4" s="64"/>
      <c r="M4" s="64"/>
      <c r="N4" s="80"/>
    </row>
    <row r="5" spans="1:76">
      <c r="A5" s="87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80"/>
    </row>
    <row r="6" spans="1:76">
      <c r="A6" s="88" t="s">
        <v>11</v>
      </c>
      <c r="B6" s="64"/>
      <c r="C6" s="64"/>
      <c r="D6" s="63" t="s">
        <v>12</v>
      </c>
      <c r="E6" s="64"/>
      <c r="F6" s="64" t="s">
        <v>13</v>
      </c>
      <c r="G6" s="64"/>
      <c r="H6" s="64" t="s">
        <v>14</v>
      </c>
      <c r="I6" s="63" t="s">
        <v>15</v>
      </c>
      <c r="J6" s="64" t="s">
        <v>317</v>
      </c>
      <c r="K6" s="64"/>
      <c r="L6" s="64"/>
      <c r="M6" s="64"/>
      <c r="N6" s="80"/>
    </row>
    <row r="7" spans="1:76">
      <c r="A7" s="87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80"/>
    </row>
    <row r="8" spans="1:76">
      <c r="A8" s="88" t="s">
        <v>16</v>
      </c>
      <c r="B8" s="64"/>
      <c r="C8" s="64"/>
      <c r="D8" s="63" t="s">
        <v>17</v>
      </c>
      <c r="E8" s="64"/>
      <c r="F8" s="64" t="s">
        <v>18</v>
      </c>
      <c r="G8" s="64"/>
      <c r="H8" s="64" t="s">
        <v>19</v>
      </c>
      <c r="I8" s="63" t="s">
        <v>20</v>
      </c>
      <c r="J8" s="63" t="s">
        <v>21</v>
      </c>
      <c r="K8" s="64"/>
      <c r="L8" s="64"/>
      <c r="M8" s="64"/>
      <c r="N8" s="80"/>
    </row>
    <row r="9" spans="1:76">
      <c r="A9" s="89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2"/>
    </row>
    <row r="10" spans="1:76">
      <c r="A10" s="5" t="s">
        <v>22</v>
      </c>
      <c r="B10" s="6" t="s">
        <v>23</v>
      </c>
      <c r="C10" s="6" t="s">
        <v>24</v>
      </c>
      <c r="D10" s="83" t="s">
        <v>25</v>
      </c>
      <c r="E10" s="84"/>
      <c r="F10" s="6" t="s">
        <v>26</v>
      </c>
      <c r="G10" s="7" t="s">
        <v>27</v>
      </c>
      <c r="H10" s="8" t="s">
        <v>28</v>
      </c>
      <c r="I10" s="71" t="s">
        <v>29</v>
      </c>
      <c r="J10" s="72"/>
      <c r="K10" s="73"/>
      <c r="L10" s="74" t="s">
        <v>30</v>
      </c>
      <c r="M10" s="75"/>
      <c r="N10" s="9" t="s">
        <v>31</v>
      </c>
      <c r="BK10" s="10" t="s">
        <v>32</v>
      </c>
      <c r="BL10" s="11" t="s">
        <v>33</v>
      </c>
      <c r="BW10" s="11" t="s">
        <v>34</v>
      </c>
    </row>
    <row r="11" spans="1:76">
      <c r="A11" s="12" t="s">
        <v>35</v>
      </c>
      <c r="B11" s="13" t="s">
        <v>35</v>
      </c>
      <c r="C11" s="13" t="s">
        <v>35</v>
      </c>
      <c r="D11" s="69" t="s">
        <v>36</v>
      </c>
      <c r="E11" s="70"/>
      <c r="F11" s="13" t="s">
        <v>35</v>
      </c>
      <c r="G11" s="13" t="s">
        <v>35</v>
      </c>
      <c r="H11" s="14" t="s">
        <v>37</v>
      </c>
      <c r="I11" s="15" t="s">
        <v>38</v>
      </c>
      <c r="J11" s="16" t="s">
        <v>39</v>
      </c>
      <c r="K11" s="17" t="s">
        <v>40</v>
      </c>
      <c r="L11" s="18" t="s">
        <v>41</v>
      </c>
      <c r="M11" s="19" t="s">
        <v>40</v>
      </c>
      <c r="N11" s="20" t="s">
        <v>42</v>
      </c>
      <c r="Z11" s="10" t="s">
        <v>43</v>
      </c>
      <c r="AA11" s="10" t="s">
        <v>44</v>
      </c>
      <c r="AB11" s="10" t="s">
        <v>45</v>
      </c>
      <c r="AC11" s="10" t="s">
        <v>46</v>
      </c>
      <c r="AD11" s="10" t="s">
        <v>47</v>
      </c>
      <c r="AE11" s="10" t="s">
        <v>48</v>
      </c>
      <c r="AF11" s="10" t="s">
        <v>49</v>
      </c>
      <c r="AG11" s="10" t="s">
        <v>50</v>
      </c>
      <c r="AH11" s="10" t="s">
        <v>51</v>
      </c>
      <c r="BH11" s="10" t="s">
        <v>52</v>
      </c>
      <c r="BI11" s="10" t="s">
        <v>53</v>
      </c>
      <c r="BJ11" s="10" t="s">
        <v>54</v>
      </c>
    </row>
    <row r="12" spans="1:76">
      <c r="A12" s="21" t="s">
        <v>55</v>
      </c>
      <c r="B12" s="22" t="s">
        <v>55</v>
      </c>
      <c r="C12" s="22" t="s">
        <v>56</v>
      </c>
      <c r="D12" s="76" t="s">
        <v>57</v>
      </c>
      <c r="E12" s="77"/>
      <c r="F12" s="23" t="s">
        <v>35</v>
      </c>
      <c r="G12" s="23" t="s">
        <v>35</v>
      </c>
      <c r="H12" s="23" t="s">
        <v>35</v>
      </c>
      <c r="I12" s="24">
        <f>ROUND(SUM(I13:I13),2)</f>
        <v>0</v>
      </c>
      <c r="J12" s="24">
        <f>ROUND(SUM(J13:J13),2)</f>
        <v>0</v>
      </c>
      <c r="K12" s="24">
        <f>ROUND(SUM(K13:K13),2)</f>
        <v>0</v>
      </c>
      <c r="L12" s="25" t="s">
        <v>55</v>
      </c>
      <c r="M12" s="24">
        <f>SUM(M13:M13)</f>
        <v>0</v>
      </c>
      <c r="N12" s="26" t="s">
        <v>55</v>
      </c>
      <c r="AI12" s="10" t="s">
        <v>55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>
      <c r="A13" s="2" t="s">
        <v>58</v>
      </c>
      <c r="B13" s="3" t="s">
        <v>55</v>
      </c>
      <c r="C13" s="3" t="s">
        <v>59</v>
      </c>
      <c r="D13" s="63" t="s">
        <v>60</v>
      </c>
      <c r="E13" s="64"/>
      <c r="F13" s="3" t="s">
        <v>61</v>
      </c>
      <c r="G13" s="27">
        <v>26.125</v>
      </c>
      <c r="H13" s="27">
        <v>0</v>
      </c>
      <c r="I13" s="27">
        <f>ROUND(G13*AO13,2)</f>
        <v>0</v>
      </c>
      <c r="J13" s="27">
        <f>ROUND(G13*AP13,2)</f>
        <v>0</v>
      </c>
      <c r="K13" s="27">
        <f>ROUND(G13*H13,2)</f>
        <v>0</v>
      </c>
      <c r="L13" s="27">
        <v>0</v>
      </c>
      <c r="M13" s="27">
        <f>G13*L13</f>
        <v>0</v>
      </c>
      <c r="N13" s="28" t="s">
        <v>62</v>
      </c>
      <c r="Z13" s="27">
        <f>ROUND(IF(AQ13="5",BJ13,0),2)</f>
        <v>0</v>
      </c>
      <c r="AB13" s="27">
        <f>ROUND(IF(AQ13="1",BH13,0),2)</f>
        <v>0</v>
      </c>
      <c r="AC13" s="27">
        <f>ROUND(IF(AQ13="1",BI13,0),2)</f>
        <v>0</v>
      </c>
      <c r="AD13" s="27">
        <f>ROUND(IF(AQ13="7",BH13,0),2)</f>
        <v>0</v>
      </c>
      <c r="AE13" s="27">
        <f>ROUND(IF(AQ13="7",BI13,0),2)</f>
        <v>0</v>
      </c>
      <c r="AF13" s="27">
        <f>ROUND(IF(AQ13="2",BH13,0),2)</f>
        <v>0</v>
      </c>
      <c r="AG13" s="27">
        <f>ROUND(IF(AQ13="2",BI13,0),2)</f>
        <v>0</v>
      </c>
      <c r="AH13" s="27">
        <f>ROUND(IF(AQ13="0",BJ13,0),2)</f>
        <v>0</v>
      </c>
      <c r="AI13" s="10" t="s">
        <v>55</v>
      </c>
      <c r="AJ13" s="27">
        <f>IF(AN13=0,K13,0)</f>
        <v>0</v>
      </c>
      <c r="AK13" s="27">
        <f>IF(AN13=15,K13,0)</f>
        <v>0</v>
      </c>
      <c r="AL13" s="27">
        <f>IF(AN13=21,K13,0)</f>
        <v>0</v>
      </c>
      <c r="AN13" s="27">
        <v>21</v>
      </c>
      <c r="AO13" s="27">
        <f>H13*0</f>
        <v>0</v>
      </c>
      <c r="AP13" s="27">
        <f>H13*(1-0)</f>
        <v>0</v>
      </c>
      <c r="AQ13" s="29" t="s">
        <v>58</v>
      </c>
      <c r="AV13" s="27">
        <f>ROUND(AW13+AX13,2)</f>
        <v>0</v>
      </c>
      <c r="AW13" s="27">
        <f>ROUND(G13*AO13,2)</f>
        <v>0</v>
      </c>
      <c r="AX13" s="27">
        <f>ROUND(G13*AP13,2)</f>
        <v>0</v>
      </c>
      <c r="AY13" s="29" t="s">
        <v>63</v>
      </c>
      <c r="AZ13" s="29" t="s">
        <v>63</v>
      </c>
      <c r="BA13" s="10" t="s">
        <v>64</v>
      </c>
      <c r="BC13" s="27">
        <f>AW13+AX13</f>
        <v>0</v>
      </c>
      <c r="BD13" s="27">
        <f>H13/(100-BE13)*100</f>
        <v>0</v>
      </c>
      <c r="BE13" s="27">
        <v>0</v>
      </c>
      <c r="BF13" s="27">
        <f>M13</f>
        <v>0</v>
      </c>
      <c r="BH13" s="27">
        <f>G13*AO13</f>
        <v>0</v>
      </c>
      <c r="BI13" s="27">
        <f>G13*AP13</f>
        <v>0</v>
      </c>
      <c r="BJ13" s="27">
        <f>G13*H13</f>
        <v>0</v>
      </c>
      <c r="BK13" s="29" t="s">
        <v>65</v>
      </c>
      <c r="BL13" s="27">
        <v>12</v>
      </c>
      <c r="BW13" s="27">
        <v>21</v>
      </c>
      <c r="BX13" s="4" t="s">
        <v>60</v>
      </c>
    </row>
    <row r="14" spans="1:76">
      <c r="A14" s="30" t="s">
        <v>55</v>
      </c>
      <c r="B14" s="31" t="s">
        <v>55</v>
      </c>
      <c r="C14" s="31" t="s">
        <v>66</v>
      </c>
      <c r="D14" s="65" t="s">
        <v>67</v>
      </c>
      <c r="E14" s="66"/>
      <c r="F14" s="32" t="s">
        <v>35</v>
      </c>
      <c r="G14" s="32" t="s">
        <v>35</v>
      </c>
      <c r="H14" s="32" t="s">
        <v>35</v>
      </c>
      <c r="I14" s="1">
        <f>ROUND(SUM(I15:I18),2)</f>
        <v>0</v>
      </c>
      <c r="J14" s="1">
        <f>ROUND(SUM(J15:J18),2)</f>
        <v>0</v>
      </c>
      <c r="K14" s="1">
        <f>ROUND(SUM(K15:K18),2)</f>
        <v>0</v>
      </c>
      <c r="L14" s="10" t="s">
        <v>55</v>
      </c>
      <c r="M14" s="1">
        <f>SUM(M15:M18)</f>
        <v>0</v>
      </c>
      <c r="N14" s="33" t="s">
        <v>55</v>
      </c>
      <c r="AI14" s="10" t="s">
        <v>55</v>
      </c>
      <c r="AS14" s="1">
        <f>SUM(AJ15:AJ18)</f>
        <v>0</v>
      </c>
      <c r="AT14" s="1">
        <f>SUM(AK15:AK18)</f>
        <v>0</v>
      </c>
      <c r="AU14" s="1">
        <f>SUM(AL15:AL18)</f>
        <v>0</v>
      </c>
    </row>
    <row r="15" spans="1:76" ht="25.5">
      <c r="A15" s="2" t="s">
        <v>68</v>
      </c>
      <c r="B15" s="3" t="s">
        <v>55</v>
      </c>
      <c r="C15" s="3" t="s">
        <v>69</v>
      </c>
      <c r="D15" s="63" t="s">
        <v>70</v>
      </c>
      <c r="E15" s="64"/>
      <c r="F15" s="3" t="s">
        <v>61</v>
      </c>
      <c r="G15" s="27">
        <v>4.08</v>
      </c>
      <c r="H15" s="27">
        <v>0</v>
      </c>
      <c r="I15" s="27">
        <f>ROUND(G15*AO15,2)</f>
        <v>0</v>
      </c>
      <c r="J15" s="27">
        <f>ROUND(G15*AP15,2)</f>
        <v>0</v>
      </c>
      <c r="K15" s="27">
        <f>ROUND(G15*H15,2)</f>
        <v>0</v>
      </c>
      <c r="L15" s="27">
        <v>0</v>
      </c>
      <c r="M15" s="27">
        <f>G15*L15</f>
        <v>0</v>
      </c>
      <c r="N15" s="28" t="s">
        <v>62</v>
      </c>
      <c r="Z15" s="27">
        <f>ROUND(IF(AQ15="5",BJ15,0),2)</f>
        <v>0</v>
      </c>
      <c r="AB15" s="27">
        <f>ROUND(IF(AQ15="1",BH15,0),2)</f>
        <v>0</v>
      </c>
      <c r="AC15" s="27">
        <f>ROUND(IF(AQ15="1",BI15,0),2)</f>
        <v>0</v>
      </c>
      <c r="AD15" s="27">
        <f>ROUND(IF(AQ15="7",BH15,0),2)</f>
        <v>0</v>
      </c>
      <c r="AE15" s="27">
        <f>ROUND(IF(AQ15="7",BI15,0),2)</f>
        <v>0</v>
      </c>
      <c r="AF15" s="27">
        <f>ROUND(IF(AQ15="2",BH15,0),2)</f>
        <v>0</v>
      </c>
      <c r="AG15" s="27">
        <f>ROUND(IF(AQ15="2",BI15,0),2)</f>
        <v>0</v>
      </c>
      <c r="AH15" s="27">
        <f>ROUND(IF(AQ15="0",BJ15,0),2)</f>
        <v>0</v>
      </c>
      <c r="AI15" s="10" t="s">
        <v>55</v>
      </c>
      <c r="AJ15" s="27">
        <f>IF(AN15=0,K15,0)</f>
        <v>0</v>
      </c>
      <c r="AK15" s="27">
        <f>IF(AN15=15,K15,0)</f>
        <v>0</v>
      </c>
      <c r="AL15" s="27">
        <f>IF(AN15=21,K15,0)</f>
        <v>0</v>
      </c>
      <c r="AN15" s="27">
        <v>21</v>
      </c>
      <c r="AO15" s="27">
        <f>H15*0</f>
        <v>0</v>
      </c>
      <c r="AP15" s="27">
        <f>H15*(1-0)</f>
        <v>0</v>
      </c>
      <c r="AQ15" s="29" t="s">
        <v>58</v>
      </c>
      <c r="AV15" s="27">
        <f>ROUND(AW15+AX15,2)</f>
        <v>0</v>
      </c>
      <c r="AW15" s="27">
        <f>ROUND(G15*AO15,2)</f>
        <v>0</v>
      </c>
      <c r="AX15" s="27">
        <f>ROUND(G15*AP15,2)</f>
        <v>0</v>
      </c>
      <c r="AY15" s="29" t="s">
        <v>71</v>
      </c>
      <c r="AZ15" s="29" t="s">
        <v>71</v>
      </c>
      <c r="BA15" s="10" t="s">
        <v>64</v>
      </c>
      <c r="BC15" s="27">
        <f>AW15+AX15</f>
        <v>0</v>
      </c>
      <c r="BD15" s="27">
        <f>H15/(100-BE15)*100</f>
        <v>0</v>
      </c>
      <c r="BE15" s="27">
        <v>0</v>
      </c>
      <c r="BF15" s="27">
        <f>M15</f>
        <v>0</v>
      </c>
      <c r="BH15" s="27">
        <f>G15*AO15</f>
        <v>0</v>
      </c>
      <c r="BI15" s="27">
        <f>G15*AP15</f>
        <v>0</v>
      </c>
      <c r="BJ15" s="27">
        <f>G15*H15</f>
        <v>0</v>
      </c>
      <c r="BK15" s="29" t="s">
        <v>65</v>
      </c>
      <c r="BL15" s="27">
        <v>13</v>
      </c>
      <c r="BW15" s="27">
        <v>21</v>
      </c>
      <c r="BX15" s="4" t="s">
        <v>70</v>
      </c>
    </row>
    <row r="16" spans="1:76">
      <c r="A16" s="2" t="s">
        <v>72</v>
      </c>
      <c r="B16" s="3" t="s">
        <v>55</v>
      </c>
      <c r="C16" s="3" t="s">
        <v>73</v>
      </c>
      <c r="D16" s="63" t="s">
        <v>74</v>
      </c>
      <c r="E16" s="64"/>
      <c r="F16" s="3" t="s">
        <v>61</v>
      </c>
      <c r="G16" s="27">
        <v>4.08</v>
      </c>
      <c r="H16" s="27">
        <v>0</v>
      </c>
      <c r="I16" s="27">
        <f>ROUND(G16*AO16,2)</f>
        <v>0</v>
      </c>
      <c r="J16" s="27">
        <f>ROUND(G16*AP16,2)</f>
        <v>0</v>
      </c>
      <c r="K16" s="27">
        <f>ROUND(G16*H16,2)</f>
        <v>0</v>
      </c>
      <c r="L16" s="27">
        <v>0</v>
      </c>
      <c r="M16" s="27">
        <f>G16*L16</f>
        <v>0</v>
      </c>
      <c r="N16" s="28" t="s">
        <v>62</v>
      </c>
      <c r="Z16" s="27">
        <f>ROUND(IF(AQ16="5",BJ16,0),2)</f>
        <v>0</v>
      </c>
      <c r="AB16" s="27">
        <f>ROUND(IF(AQ16="1",BH16,0),2)</f>
        <v>0</v>
      </c>
      <c r="AC16" s="27">
        <f>ROUND(IF(AQ16="1",BI16,0),2)</f>
        <v>0</v>
      </c>
      <c r="AD16" s="27">
        <f>ROUND(IF(AQ16="7",BH16,0),2)</f>
        <v>0</v>
      </c>
      <c r="AE16" s="27">
        <f>ROUND(IF(AQ16="7",BI16,0),2)</f>
        <v>0</v>
      </c>
      <c r="AF16" s="27">
        <f>ROUND(IF(AQ16="2",BH16,0),2)</f>
        <v>0</v>
      </c>
      <c r="AG16" s="27">
        <f>ROUND(IF(AQ16="2",BI16,0),2)</f>
        <v>0</v>
      </c>
      <c r="AH16" s="27">
        <f>ROUND(IF(AQ16="0",BJ16,0),2)</f>
        <v>0</v>
      </c>
      <c r="AI16" s="10" t="s">
        <v>55</v>
      </c>
      <c r="AJ16" s="27">
        <f>IF(AN16=0,K16,0)</f>
        <v>0</v>
      </c>
      <c r="AK16" s="27">
        <f>IF(AN16=15,K16,0)</f>
        <v>0</v>
      </c>
      <c r="AL16" s="27">
        <f>IF(AN16=21,K16,0)</f>
        <v>0</v>
      </c>
      <c r="AN16" s="27">
        <v>21</v>
      </c>
      <c r="AO16" s="27">
        <f>H16*0</f>
        <v>0</v>
      </c>
      <c r="AP16" s="27">
        <f>H16*(1-0)</f>
        <v>0</v>
      </c>
      <c r="AQ16" s="29" t="s">
        <v>58</v>
      </c>
      <c r="AV16" s="27">
        <f>ROUND(AW16+AX16,2)</f>
        <v>0</v>
      </c>
      <c r="AW16" s="27">
        <f>ROUND(G16*AO16,2)</f>
        <v>0</v>
      </c>
      <c r="AX16" s="27">
        <f>ROUND(G16*AP16,2)</f>
        <v>0</v>
      </c>
      <c r="AY16" s="29" t="s">
        <v>71</v>
      </c>
      <c r="AZ16" s="29" t="s">
        <v>71</v>
      </c>
      <c r="BA16" s="10" t="s">
        <v>64</v>
      </c>
      <c r="BC16" s="27">
        <f>AW16+AX16</f>
        <v>0</v>
      </c>
      <c r="BD16" s="27">
        <f>H16/(100-BE16)*100</f>
        <v>0</v>
      </c>
      <c r="BE16" s="27">
        <v>0</v>
      </c>
      <c r="BF16" s="27">
        <f>M16</f>
        <v>0</v>
      </c>
      <c r="BH16" s="27">
        <f>G16*AO16</f>
        <v>0</v>
      </c>
      <c r="BI16" s="27">
        <f>G16*AP16</f>
        <v>0</v>
      </c>
      <c r="BJ16" s="27">
        <f>G16*H16</f>
        <v>0</v>
      </c>
      <c r="BK16" s="29" t="s">
        <v>65</v>
      </c>
      <c r="BL16" s="27">
        <v>13</v>
      </c>
      <c r="BW16" s="27">
        <v>21</v>
      </c>
      <c r="BX16" s="4" t="s">
        <v>74</v>
      </c>
    </row>
    <row r="17" spans="1:76" ht="25.5">
      <c r="A17" s="2" t="s">
        <v>75</v>
      </c>
      <c r="B17" s="3" t="s">
        <v>55</v>
      </c>
      <c r="C17" s="3" t="s">
        <v>69</v>
      </c>
      <c r="D17" s="63" t="s">
        <v>76</v>
      </c>
      <c r="E17" s="64"/>
      <c r="F17" s="3" t="s">
        <v>61</v>
      </c>
      <c r="G17" s="27">
        <v>3.87</v>
      </c>
      <c r="H17" s="27">
        <v>0</v>
      </c>
      <c r="I17" s="27">
        <f>ROUND(G17*AO17,2)</f>
        <v>0</v>
      </c>
      <c r="J17" s="27">
        <f>ROUND(G17*AP17,2)</f>
        <v>0</v>
      </c>
      <c r="K17" s="27">
        <f>ROUND(G17*H17,2)</f>
        <v>0</v>
      </c>
      <c r="L17" s="27">
        <v>0</v>
      </c>
      <c r="M17" s="27">
        <f>G17*L17</f>
        <v>0</v>
      </c>
      <c r="N17" s="28" t="s">
        <v>62</v>
      </c>
      <c r="Z17" s="27">
        <f>ROUND(IF(AQ17="5",BJ17,0),2)</f>
        <v>0</v>
      </c>
      <c r="AB17" s="27">
        <f>ROUND(IF(AQ17="1",BH17,0),2)</f>
        <v>0</v>
      </c>
      <c r="AC17" s="27">
        <f>ROUND(IF(AQ17="1",BI17,0),2)</f>
        <v>0</v>
      </c>
      <c r="AD17" s="27">
        <f>ROUND(IF(AQ17="7",BH17,0),2)</f>
        <v>0</v>
      </c>
      <c r="AE17" s="27">
        <f>ROUND(IF(AQ17="7",BI17,0),2)</f>
        <v>0</v>
      </c>
      <c r="AF17" s="27">
        <f>ROUND(IF(AQ17="2",BH17,0),2)</f>
        <v>0</v>
      </c>
      <c r="AG17" s="27">
        <f>ROUND(IF(AQ17="2",BI17,0),2)</f>
        <v>0</v>
      </c>
      <c r="AH17" s="27">
        <f>ROUND(IF(AQ17="0",BJ17,0),2)</f>
        <v>0</v>
      </c>
      <c r="AI17" s="10" t="s">
        <v>55</v>
      </c>
      <c r="AJ17" s="27">
        <f>IF(AN17=0,K17,0)</f>
        <v>0</v>
      </c>
      <c r="AK17" s="27">
        <f>IF(AN17=15,K17,0)</f>
        <v>0</v>
      </c>
      <c r="AL17" s="27">
        <f>IF(AN17=21,K17,0)</f>
        <v>0</v>
      </c>
      <c r="AN17" s="27">
        <v>21</v>
      </c>
      <c r="AO17" s="27">
        <f>H17*0</f>
        <v>0</v>
      </c>
      <c r="AP17" s="27">
        <f>H17*(1-0)</f>
        <v>0</v>
      </c>
      <c r="AQ17" s="29" t="s">
        <v>58</v>
      </c>
      <c r="AV17" s="27">
        <f>ROUND(AW17+AX17,2)</f>
        <v>0</v>
      </c>
      <c r="AW17" s="27">
        <f>ROUND(G17*AO17,2)</f>
        <v>0</v>
      </c>
      <c r="AX17" s="27">
        <f>ROUND(G17*AP17,2)</f>
        <v>0</v>
      </c>
      <c r="AY17" s="29" t="s">
        <v>71</v>
      </c>
      <c r="AZ17" s="29" t="s">
        <v>71</v>
      </c>
      <c r="BA17" s="10" t="s">
        <v>64</v>
      </c>
      <c r="BC17" s="27">
        <f>AW17+AX17</f>
        <v>0</v>
      </c>
      <c r="BD17" s="27">
        <f>H17/(100-BE17)*100</f>
        <v>0</v>
      </c>
      <c r="BE17" s="27">
        <v>0</v>
      </c>
      <c r="BF17" s="27">
        <f>M17</f>
        <v>0</v>
      </c>
      <c r="BH17" s="27">
        <f>G17*AO17</f>
        <v>0</v>
      </c>
      <c r="BI17" s="27">
        <f>G17*AP17</f>
        <v>0</v>
      </c>
      <c r="BJ17" s="27">
        <f>G17*H17</f>
        <v>0</v>
      </c>
      <c r="BK17" s="29" t="s">
        <v>65</v>
      </c>
      <c r="BL17" s="27">
        <v>13</v>
      </c>
      <c r="BW17" s="27">
        <v>21</v>
      </c>
      <c r="BX17" s="4" t="s">
        <v>76</v>
      </c>
    </row>
    <row r="18" spans="1:76">
      <c r="A18" s="2" t="s">
        <v>77</v>
      </c>
      <c r="B18" s="3" t="s">
        <v>55</v>
      </c>
      <c r="C18" s="3" t="s">
        <v>73</v>
      </c>
      <c r="D18" s="63" t="s">
        <v>78</v>
      </c>
      <c r="E18" s="64"/>
      <c r="F18" s="3" t="s">
        <v>61</v>
      </c>
      <c r="G18" s="27">
        <v>3.87</v>
      </c>
      <c r="H18" s="27">
        <v>0</v>
      </c>
      <c r="I18" s="27">
        <f>ROUND(G18*AO18,2)</f>
        <v>0</v>
      </c>
      <c r="J18" s="27">
        <f>ROUND(G18*AP18,2)</f>
        <v>0</v>
      </c>
      <c r="K18" s="27">
        <f>ROUND(G18*H18,2)</f>
        <v>0</v>
      </c>
      <c r="L18" s="27">
        <v>0</v>
      </c>
      <c r="M18" s="27">
        <f>G18*L18</f>
        <v>0</v>
      </c>
      <c r="N18" s="28" t="s">
        <v>62</v>
      </c>
      <c r="Z18" s="27">
        <f>ROUND(IF(AQ18="5",BJ18,0),2)</f>
        <v>0</v>
      </c>
      <c r="AB18" s="27">
        <f>ROUND(IF(AQ18="1",BH18,0),2)</f>
        <v>0</v>
      </c>
      <c r="AC18" s="27">
        <f>ROUND(IF(AQ18="1",BI18,0),2)</f>
        <v>0</v>
      </c>
      <c r="AD18" s="27">
        <f>ROUND(IF(AQ18="7",BH18,0),2)</f>
        <v>0</v>
      </c>
      <c r="AE18" s="27">
        <f>ROUND(IF(AQ18="7",BI18,0),2)</f>
        <v>0</v>
      </c>
      <c r="AF18" s="27">
        <f>ROUND(IF(AQ18="2",BH18,0),2)</f>
        <v>0</v>
      </c>
      <c r="AG18" s="27">
        <f>ROUND(IF(AQ18="2",BI18,0),2)</f>
        <v>0</v>
      </c>
      <c r="AH18" s="27">
        <f>ROUND(IF(AQ18="0",BJ18,0),2)</f>
        <v>0</v>
      </c>
      <c r="AI18" s="10" t="s">
        <v>55</v>
      </c>
      <c r="AJ18" s="27">
        <f>IF(AN18=0,K18,0)</f>
        <v>0</v>
      </c>
      <c r="AK18" s="27">
        <f>IF(AN18=15,K18,0)</f>
        <v>0</v>
      </c>
      <c r="AL18" s="27">
        <f>IF(AN18=21,K18,0)</f>
        <v>0</v>
      </c>
      <c r="AN18" s="27">
        <v>21</v>
      </c>
      <c r="AO18" s="27">
        <f>H18*0</f>
        <v>0</v>
      </c>
      <c r="AP18" s="27">
        <f>H18*(1-0)</f>
        <v>0</v>
      </c>
      <c r="AQ18" s="29" t="s">
        <v>58</v>
      </c>
      <c r="AV18" s="27">
        <f>ROUND(AW18+AX18,2)</f>
        <v>0</v>
      </c>
      <c r="AW18" s="27">
        <f>ROUND(G18*AO18,2)</f>
        <v>0</v>
      </c>
      <c r="AX18" s="27">
        <f>ROUND(G18*AP18,2)</f>
        <v>0</v>
      </c>
      <c r="AY18" s="29" t="s">
        <v>71</v>
      </c>
      <c r="AZ18" s="29" t="s">
        <v>71</v>
      </c>
      <c r="BA18" s="10" t="s">
        <v>64</v>
      </c>
      <c r="BC18" s="27">
        <f>AW18+AX18</f>
        <v>0</v>
      </c>
      <c r="BD18" s="27">
        <f>H18/(100-BE18)*100</f>
        <v>0</v>
      </c>
      <c r="BE18" s="27">
        <v>0</v>
      </c>
      <c r="BF18" s="27">
        <f>M18</f>
        <v>0</v>
      </c>
      <c r="BH18" s="27">
        <f>G18*AO18</f>
        <v>0</v>
      </c>
      <c r="BI18" s="27">
        <f>G18*AP18</f>
        <v>0</v>
      </c>
      <c r="BJ18" s="27">
        <f>G18*H18</f>
        <v>0</v>
      </c>
      <c r="BK18" s="29" t="s">
        <v>65</v>
      </c>
      <c r="BL18" s="27">
        <v>13</v>
      </c>
      <c r="BW18" s="27">
        <v>21</v>
      </c>
      <c r="BX18" s="4" t="s">
        <v>78</v>
      </c>
    </row>
    <row r="19" spans="1:76">
      <c r="A19" s="30" t="s">
        <v>55</v>
      </c>
      <c r="B19" s="31" t="s">
        <v>55</v>
      </c>
      <c r="C19" s="31" t="s">
        <v>79</v>
      </c>
      <c r="D19" s="65" t="s">
        <v>80</v>
      </c>
      <c r="E19" s="66"/>
      <c r="F19" s="32" t="s">
        <v>35</v>
      </c>
      <c r="G19" s="32" t="s">
        <v>35</v>
      </c>
      <c r="H19" s="32" t="s">
        <v>35</v>
      </c>
      <c r="I19" s="1">
        <f>ROUND(SUM(I20:I21),2)</f>
        <v>0</v>
      </c>
      <c r="J19" s="1">
        <f>ROUND(SUM(J20:J21),2)</f>
        <v>0</v>
      </c>
      <c r="K19" s="1">
        <f>ROUND(SUM(K20:K21),2)</f>
        <v>0</v>
      </c>
      <c r="L19" s="10" t="s">
        <v>55</v>
      </c>
      <c r="M19" s="1">
        <f>SUM(M20:M21)</f>
        <v>0</v>
      </c>
      <c r="N19" s="33" t="s">
        <v>55</v>
      </c>
      <c r="AI19" s="10" t="s">
        <v>55</v>
      </c>
      <c r="AS19" s="1">
        <f>SUM(AJ20:AJ21)</f>
        <v>0</v>
      </c>
      <c r="AT19" s="1">
        <f>SUM(AK20:AK21)</f>
        <v>0</v>
      </c>
      <c r="AU19" s="1">
        <f>SUM(AL20:AL21)</f>
        <v>0</v>
      </c>
    </row>
    <row r="20" spans="1:76" ht="25.5">
      <c r="A20" s="2" t="s">
        <v>81</v>
      </c>
      <c r="B20" s="3" t="s">
        <v>55</v>
      </c>
      <c r="C20" s="3" t="s">
        <v>82</v>
      </c>
      <c r="D20" s="63" t="s">
        <v>83</v>
      </c>
      <c r="E20" s="64"/>
      <c r="F20" s="3" t="s">
        <v>61</v>
      </c>
      <c r="G20" s="27">
        <v>10.46</v>
      </c>
      <c r="H20" s="27">
        <v>0</v>
      </c>
      <c r="I20" s="27">
        <f>ROUND(G20*AO20,2)</f>
        <v>0</v>
      </c>
      <c r="J20" s="27">
        <f>ROUND(G20*AP20,2)</f>
        <v>0</v>
      </c>
      <c r="K20" s="27">
        <f>ROUND(G20*H20,2)</f>
        <v>0</v>
      </c>
      <c r="L20" s="27">
        <v>0</v>
      </c>
      <c r="M20" s="27">
        <f>G20*L20</f>
        <v>0</v>
      </c>
      <c r="N20" s="28" t="s">
        <v>62</v>
      </c>
      <c r="Z20" s="27">
        <f>ROUND(IF(AQ20="5",BJ20,0),2)</f>
        <v>0</v>
      </c>
      <c r="AB20" s="27">
        <f>ROUND(IF(AQ20="1",BH20,0),2)</f>
        <v>0</v>
      </c>
      <c r="AC20" s="27">
        <f>ROUND(IF(AQ20="1",BI20,0),2)</f>
        <v>0</v>
      </c>
      <c r="AD20" s="27">
        <f>ROUND(IF(AQ20="7",BH20,0),2)</f>
        <v>0</v>
      </c>
      <c r="AE20" s="27">
        <f>ROUND(IF(AQ20="7",BI20,0),2)</f>
        <v>0</v>
      </c>
      <c r="AF20" s="27">
        <f>ROUND(IF(AQ20="2",BH20,0),2)</f>
        <v>0</v>
      </c>
      <c r="AG20" s="27">
        <f>ROUND(IF(AQ20="2",BI20,0),2)</f>
        <v>0</v>
      </c>
      <c r="AH20" s="27">
        <f>ROUND(IF(AQ20="0",BJ20,0),2)</f>
        <v>0</v>
      </c>
      <c r="AI20" s="10" t="s">
        <v>55</v>
      </c>
      <c r="AJ20" s="27">
        <f>IF(AN20=0,K20,0)</f>
        <v>0</v>
      </c>
      <c r="AK20" s="27">
        <f>IF(AN20=15,K20,0)</f>
        <v>0</v>
      </c>
      <c r="AL20" s="27">
        <f>IF(AN20=21,K20,0)</f>
        <v>0</v>
      </c>
      <c r="AN20" s="27">
        <v>21</v>
      </c>
      <c r="AO20" s="27">
        <f>H20*0</f>
        <v>0</v>
      </c>
      <c r="AP20" s="27">
        <f>H20*(1-0)</f>
        <v>0</v>
      </c>
      <c r="AQ20" s="29" t="s">
        <v>58</v>
      </c>
      <c r="AV20" s="27">
        <f>ROUND(AW20+AX20,2)</f>
        <v>0</v>
      </c>
      <c r="AW20" s="27">
        <f>ROUND(G20*AO20,2)</f>
        <v>0</v>
      </c>
      <c r="AX20" s="27">
        <f>ROUND(G20*AP20,2)</f>
        <v>0</v>
      </c>
      <c r="AY20" s="29" t="s">
        <v>84</v>
      </c>
      <c r="AZ20" s="29" t="s">
        <v>84</v>
      </c>
      <c r="BA20" s="10" t="s">
        <v>64</v>
      </c>
      <c r="BC20" s="27">
        <f>AW20+AX20</f>
        <v>0</v>
      </c>
      <c r="BD20" s="27">
        <f>H20/(100-BE20)*100</f>
        <v>0</v>
      </c>
      <c r="BE20" s="27">
        <v>0</v>
      </c>
      <c r="BF20" s="27">
        <f>M20</f>
        <v>0</v>
      </c>
      <c r="BH20" s="27">
        <f>G20*AO20</f>
        <v>0</v>
      </c>
      <c r="BI20" s="27">
        <f>G20*AP20</f>
        <v>0</v>
      </c>
      <c r="BJ20" s="27">
        <f>G20*H20</f>
        <v>0</v>
      </c>
      <c r="BK20" s="29" t="s">
        <v>65</v>
      </c>
      <c r="BL20" s="27">
        <v>16</v>
      </c>
      <c r="BW20" s="27">
        <v>21</v>
      </c>
      <c r="BX20" s="4" t="s">
        <v>83</v>
      </c>
    </row>
    <row r="21" spans="1:76">
      <c r="A21" s="2" t="s">
        <v>85</v>
      </c>
      <c r="B21" s="3" t="s">
        <v>55</v>
      </c>
      <c r="C21" s="3" t="s">
        <v>86</v>
      </c>
      <c r="D21" s="63" t="s">
        <v>87</v>
      </c>
      <c r="E21" s="64"/>
      <c r="F21" s="3" t="s">
        <v>61</v>
      </c>
      <c r="G21" s="27">
        <v>10.46</v>
      </c>
      <c r="H21" s="27">
        <v>0</v>
      </c>
      <c r="I21" s="27">
        <f>ROUND(G21*AO21,2)</f>
        <v>0</v>
      </c>
      <c r="J21" s="27">
        <f>ROUND(G21*AP21,2)</f>
        <v>0</v>
      </c>
      <c r="K21" s="27">
        <f>ROUND(G21*H21,2)</f>
        <v>0</v>
      </c>
      <c r="L21" s="27">
        <v>0</v>
      </c>
      <c r="M21" s="27">
        <f>G21*L21</f>
        <v>0</v>
      </c>
      <c r="N21" s="28" t="s">
        <v>62</v>
      </c>
      <c r="Z21" s="27">
        <f>ROUND(IF(AQ21="5",BJ21,0),2)</f>
        <v>0</v>
      </c>
      <c r="AB21" s="27">
        <f>ROUND(IF(AQ21="1",BH21,0),2)</f>
        <v>0</v>
      </c>
      <c r="AC21" s="27">
        <f>ROUND(IF(AQ21="1",BI21,0),2)</f>
        <v>0</v>
      </c>
      <c r="AD21" s="27">
        <f>ROUND(IF(AQ21="7",BH21,0),2)</f>
        <v>0</v>
      </c>
      <c r="AE21" s="27">
        <f>ROUND(IF(AQ21="7",BI21,0),2)</f>
        <v>0</v>
      </c>
      <c r="AF21" s="27">
        <f>ROUND(IF(AQ21="2",BH21,0),2)</f>
        <v>0</v>
      </c>
      <c r="AG21" s="27">
        <f>ROUND(IF(AQ21="2",BI21,0),2)</f>
        <v>0</v>
      </c>
      <c r="AH21" s="27">
        <f>ROUND(IF(AQ21="0",BJ21,0),2)</f>
        <v>0</v>
      </c>
      <c r="AI21" s="10" t="s">
        <v>55</v>
      </c>
      <c r="AJ21" s="27">
        <f>IF(AN21=0,K21,0)</f>
        <v>0</v>
      </c>
      <c r="AK21" s="27">
        <f>IF(AN21=15,K21,0)</f>
        <v>0</v>
      </c>
      <c r="AL21" s="27">
        <f>IF(AN21=21,K21,0)</f>
        <v>0</v>
      </c>
      <c r="AN21" s="27">
        <v>21</v>
      </c>
      <c r="AO21" s="27">
        <f>H21*0</f>
        <v>0</v>
      </c>
      <c r="AP21" s="27">
        <f>H21*(1-0)</f>
        <v>0</v>
      </c>
      <c r="AQ21" s="29" t="s">
        <v>58</v>
      </c>
      <c r="AV21" s="27">
        <f>ROUND(AW21+AX21,2)</f>
        <v>0</v>
      </c>
      <c r="AW21" s="27">
        <f>ROUND(G21*AO21,2)</f>
        <v>0</v>
      </c>
      <c r="AX21" s="27">
        <f>ROUND(G21*AP21,2)</f>
        <v>0</v>
      </c>
      <c r="AY21" s="29" t="s">
        <v>84</v>
      </c>
      <c r="AZ21" s="29" t="s">
        <v>84</v>
      </c>
      <c r="BA21" s="10" t="s">
        <v>64</v>
      </c>
      <c r="BC21" s="27">
        <f>AW21+AX21</f>
        <v>0</v>
      </c>
      <c r="BD21" s="27">
        <f>H21/(100-BE21)*100</f>
        <v>0</v>
      </c>
      <c r="BE21" s="27">
        <v>0</v>
      </c>
      <c r="BF21" s="27">
        <f>M21</f>
        <v>0</v>
      </c>
      <c r="BH21" s="27">
        <f>G21*AO21</f>
        <v>0</v>
      </c>
      <c r="BI21" s="27">
        <f>G21*AP21</f>
        <v>0</v>
      </c>
      <c r="BJ21" s="27">
        <f>G21*H21</f>
        <v>0</v>
      </c>
      <c r="BK21" s="29" t="s">
        <v>65</v>
      </c>
      <c r="BL21" s="27">
        <v>16</v>
      </c>
      <c r="BW21" s="27">
        <v>21</v>
      </c>
      <c r="BX21" s="4" t="s">
        <v>87</v>
      </c>
    </row>
    <row r="22" spans="1:76">
      <c r="A22" s="30" t="s">
        <v>55</v>
      </c>
      <c r="B22" s="31" t="s">
        <v>55</v>
      </c>
      <c r="C22" s="31" t="s">
        <v>88</v>
      </c>
      <c r="D22" s="65" t="s">
        <v>89</v>
      </c>
      <c r="E22" s="66"/>
      <c r="F22" s="32" t="s">
        <v>35</v>
      </c>
      <c r="G22" s="32" t="s">
        <v>35</v>
      </c>
      <c r="H22" s="32" t="s">
        <v>35</v>
      </c>
      <c r="I22" s="1">
        <f>ROUND(SUM(I23:I23),2)</f>
        <v>0</v>
      </c>
      <c r="J22" s="1">
        <f>ROUND(SUM(J23:J23),2)</f>
        <v>0</v>
      </c>
      <c r="K22" s="1">
        <f>ROUND(SUM(K23:K23),2)</f>
        <v>0</v>
      </c>
      <c r="L22" s="10" t="s">
        <v>55</v>
      </c>
      <c r="M22" s="1">
        <f>SUM(M23:M23)</f>
        <v>0</v>
      </c>
      <c r="N22" s="33" t="s">
        <v>55</v>
      </c>
      <c r="AI22" s="10" t="s">
        <v>55</v>
      </c>
      <c r="AS22" s="1">
        <f>SUM(AJ23:AJ23)</f>
        <v>0</v>
      </c>
      <c r="AT22" s="1">
        <f>SUM(AK23:AK23)</f>
        <v>0</v>
      </c>
      <c r="AU22" s="1">
        <f>SUM(AL23:AL23)</f>
        <v>0</v>
      </c>
    </row>
    <row r="23" spans="1:76">
      <c r="A23" s="2" t="s">
        <v>90</v>
      </c>
      <c r="B23" s="3" t="s">
        <v>55</v>
      </c>
      <c r="C23" s="3" t="s">
        <v>91</v>
      </c>
      <c r="D23" s="63" t="s">
        <v>92</v>
      </c>
      <c r="E23" s="64"/>
      <c r="F23" s="3" t="s">
        <v>93</v>
      </c>
      <c r="G23" s="27">
        <v>150</v>
      </c>
      <c r="H23" s="27">
        <v>0</v>
      </c>
      <c r="I23" s="27">
        <f>ROUND(G23*AO23,2)</f>
        <v>0</v>
      </c>
      <c r="J23" s="27">
        <f>ROUND(G23*AP23,2)</f>
        <v>0</v>
      </c>
      <c r="K23" s="27">
        <f>ROUND(G23*H23,2)</f>
        <v>0</v>
      </c>
      <c r="L23" s="27">
        <v>0</v>
      </c>
      <c r="M23" s="27">
        <f>G23*L23</f>
        <v>0</v>
      </c>
      <c r="N23" s="28" t="s">
        <v>62</v>
      </c>
      <c r="Z23" s="27">
        <f>ROUND(IF(AQ23="5",BJ23,0),2)</f>
        <v>0</v>
      </c>
      <c r="AB23" s="27">
        <f>ROUND(IF(AQ23="1",BH23,0),2)</f>
        <v>0</v>
      </c>
      <c r="AC23" s="27">
        <f>ROUND(IF(AQ23="1",BI23,0),2)</f>
        <v>0</v>
      </c>
      <c r="AD23" s="27">
        <f>ROUND(IF(AQ23="7",BH23,0),2)</f>
        <v>0</v>
      </c>
      <c r="AE23" s="27">
        <f>ROUND(IF(AQ23="7",BI23,0),2)</f>
        <v>0</v>
      </c>
      <c r="AF23" s="27">
        <f>ROUND(IF(AQ23="2",BH23,0),2)</f>
        <v>0</v>
      </c>
      <c r="AG23" s="27">
        <f>ROUND(IF(AQ23="2",BI23,0),2)</f>
        <v>0</v>
      </c>
      <c r="AH23" s="27">
        <f>ROUND(IF(AQ23="0",BJ23,0),2)</f>
        <v>0</v>
      </c>
      <c r="AI23" s="10" t="s">
        <v>55</v>
      </c>
      <c r="AJ23" s="27">
        <f>IF(AN23=0,K23,0)</f>
        <v>0</v>
      </c>
      <c r="AK23" s="27">
        <f>IF(AN23=15,K23,0)</f>
        <v>0</v>
      </c>
      <c r="AL23" s="27">
        <f>IF(AN23=21,K23,0)</f>
        <v>0</v>
      </c>
      <c r="AN23" s="27">
        <v>21</v>
      </c>
      <c r="AO23" s="27">
        <f>H23*0.066867635</f>
        <v>0</v>
      </c>
      <c r="AP23" s="27">
        <f>H23*(1-0.066867635)</f>
        <v>0</v>
      </c>
      <c r="AQ23" s="29" t="s">
        <v>58</v>
      </c>
      <c r="AV23" s="27">
        <f>ROUND(AW23+AX23,2)</f>
        <v>0</v>
      </c>
      <c r="AW23" s="27">
        <f>ROUND(G23*AO23,2)</f>
        <v>0</v>
      </c>
      <c r="AX23" s="27">
        <f>ROUND(G23*AP23,2)</f>
        <v>0</v>
      </c>
      <c r="AY23" s="29" t="s">
        <v>94</v>
      </c>
      <c r="AZ23" s="29" t="s">
        <v>94</v>
      </c>
      <c r="BA23" s="10" t="s">
        <v>64</v>
      </c>
      <c r="BC23" s="27">
        <f>AW23+AX23</f>
        <v>0</v>
      </c>
      <c r="BD23" s="27">
        <f>H23/(100-BE23)*100</f>
        <v>0</v>
      </c>
      <c r="BE23" s="27">
        <v>0</v>
      </c>
      <c r="BF23" s="27">
        <f>M23</f>
        <v>0</v>
      </c>
      <c r="BH23" s="27">
        <f>G23*AO23</f>
        <v>0</v>
      </c>
      <c r="BI23" s="27">
        <f>G23*AP23</f>
        <v>0</v>
      </c>
      <c r="BJ23" s="27">
        <f>G23*H23</f>
        <v>0</v>
      </c>
      <c r="BK23" s="29" t="s">
        <v>65</v>
      </c>
      <c r="BL23" s="27">
        <v>18</v>
      </c>
      <c r="BW23" s="27">
        <v>21</v>
      </c>
      <c r="BX23" s="4" t="s">
        <v>92</v>
      </c>
    </row>
    <row r="24" spans="1:76">
      <c r="A24" s="30" t="s">
        <v>55</v>
      </c>
      <c r="B24" s="31" t="s">
        <v>55</v>
      </c>
      <c r="C24" s="31" t="s">
        <v>95</v>
      </c>
      <c r="D24" s="65" t="s">
        <v>96</v>
      </c>
      <c r="E24" s="66"/>
      <c r="F24" s="32" t="s">
        <v>35</v>
      </c>
      <c r="G24" s="32" t="s">
        <v>35</v>
      </c>
      <c r="H24" s="32" t="s">
        <v>35</v>
      </c>
      <c r="I24" s="1">
        <f>ROUND(SUM(I25:I28),2)</f>
        <v>0</v>
      </c>
      <c r="J24" s="1">
        <f>ROUND(SUM(J25:J28),2)</f>
        <v>0</v>
      </c>
      <c r="K24" s="1">
        <f>ROUND(SUM(K25:K28),2)</f>
        <v>0</v>
      </c>
      <c r="L24" s="10" t="s">
        <v>55</v>
      </c>
      <c r="M24" s="1">
        <f>SUM(M25:M28)</f>
        <v>20.528281499999999</v>
      </c>
      <c r="N24" s="33" t="s">
        <v>55</v>
      </c>
      <c r="AI24" s="10" t="s">
        <v>55</v>
      </c>
      <c r="AS24" s="1">
        <f>SUM(AJ25:AJ28)</f>
        <v>0</v>
      </c>
      <c r="AT24" s="1">
        <f>SUM(AK25:AK28)</f>
        <v>0</v>
      </c>
      <c r="AU24" s="1">
        <f>SUM(AL25:AL28)</f>
        <v>0</v>
      </c>
    </row>
    <row r="25" spans="1:76">
      <c r="A25" s="2" t="s">
        <v>97</v>
      </c>
      <c r="B25" s="3" t="s">
        <v>55</v>
      </c>
      <c r="C25" s="3" t="s">
        <v>98</v>
      </c>
      <c r="D25" s="63" t="s">
        <v>99</v>
      </c>
      <c r="E25" s="64"/>
      <c r="F25" s="3" t="s">
        <v>61</v>
      </c>
      <c r="G25" s="27">
        <v>3.87</v>
      </c>
      <c r="H25" s="27">
        <v>0</v>
      </c>
      <c r="I25" s="27">
        <f>ROUND(G25*AO25,2)</f>
        <v>0</v>
      </c>
      <c r="J25" s="27">
        <f>ROUND(G25*AP25,2)</f>
        <v>0</v>
      </c>
      <c r="K25" s="27">
        <f>ROUND(G25*H25,2)</f>
        <v>0</v>
      </c>
      <c r="L25" s="27">
        <v>2.5249999999999999</v>
      </c>
      <c r="M25" s="27">
        <f>G25*L25</f>
        <v>9.771749999999999</v>
      </c>
      <c r="N25" s="28" t="s">
        <v>62</v>
      </c>
      <c r="Z25" s="27">
        <f>ROUND(IF(AQ25="5",BJ25,0),2)</f>
        <v>0</v>
      </c>
      <c r="AB25" s="27">
        <f>ROUND(IF(AQ25="1",BH25,0),2)</f>
        <v>0</v>
      </c>
      <c r="AC25" s="27">
        <f>ROUND(IF(AQ25="1",BI25,0),2)</f>
        <v>0</v>
      </c>
      <c r="AD25" s="27">
        <f>ROUND(IF(AQ25="7",BH25,0),2)</f>
        <v>0</v>
      </c>
      <c r="AE25" s="27">
        <f>ROUND(IF(AQ25="7",BI25,0),2)</f>
        <v>0</v>
      </c>
      <c r="AF25" s="27">
        <f>ROUND(IF(AQ25="2",BH25,0),2)</f>
        <v>0</v>
      </c>
      <c r="AG25" s="27">
        <f>ROUND(IF(AQ25="2",BI25,0),2)</f>
        <v>0</v>
      </c>
      <c r="AH25" s="27">
        <f>ROUND(IF(AQ25="0",BJ25,0),2)</f>
        <v>0</v>
      </c>
      <c r="AI25" s="10" t="s">
        <v>55</v>
      </c>
      <c r="AJ25" s="27">
        <f>IF(AN25=0,K25,0)</f>
        <v>0</v>
      </c>
      <c r="AK25" s="27">
        <f>IF(AN25=15,K25,0)</f>
        <v>0</v>
      </c>
      <c r="AL25" s="27">
        <f>IF(AN25=21,K25,0)</f>
        <v>0</v>
      </c>
      <c r="AN25" s="27">
        <v>21</v>
      </c>
      <c r="AO25" s="27">
        <f>H25*0.902800498</f>
        <v>0</v>
      </c>
      <c r="AP25" s="27">
        <f>H25*(1-0.902800498)</f>
        <v>0</v>
      </c>
      <c r="AQ25" s="29" t="s">
        <v>58</v>
      </c>
      <c r="AV25" s="27">
        <f>ROUND(AW25+AX25,2)</f>
        <v>0</v>
      </c>
      <c r="AW25" s="27">
        <f>ROUND(G25*AO25,2)</f>
        <v>0</v>
      </c>
      <c r="AX25" s="27">
        <f>ROUND(G25*AP25,2)</f>
        <v>0</v>
      </c>
      <c r="AY25" s="29" t="s">
        <v>100</v>
      </c>
      <c r="AZ25" s="29" t="s">
        <v>100</v>
      </c>
      <c r="BA25" s="10" t="s">
        <v>64</v>
      </c>
      <c r="BC25" s="27">
        <f>AW25+AX25</f>
        <v>0</v>
      </c>
      <c r="BD25" s="27">
        <f>H25/(100-BE25)*100</f>
        <v>0</v>
      </c>
      <c r="BE25" s="27">
        <v>0</v>
      </c>
      <c r="BF25" s="27">
        <f>M25</f>
        <v>9.771749999999999</v>
      </c>
      <c r="BH25" s="27">
        <f>G25*AO25</f>
        <v>0</v>
      </c>
      <c r="BI25" s="27">
        <f>G25*AP25</f>
        <v>0</v>
      </c>
      <c r="BJ25" s="27">
        <f>G25*H25</f>
        <v>0</v>
      </c>
      <c r="BK25" s="29" t="s">
        <v>65</v>
      </c>
      <c r="BL25" s="27">
        <v>27</v>
      </c>
      <c r="BW25" s="27">
        <v>21</v>
      </c>
      <c r="BX25" s="4" t="s">
        <v>99</v>
      </c>
    </row>
    <row r="26" spans="1:76">
      <c r="A26" s="2" t="s">
        <v>101</v>
      </c>
      <c r="B26" s="3" t="s">
        <v>55</v>
      </c>
      <c r="C26" s="3" t="s">
        <v>102</v>
      </c>
      <c r="D26" s="63" t="s">
        <v>103</v>
      </c>
      <c r="E26" s="64"/>
      <c r="F26" s="3" t="s">
        <v>61</v>
      </c>
      <c r="G26" s="27">
        <v>4.08</v>
      </c>
      <c r="H26" s="27">
        <v>0</v>
      </c>
      <c r="I26" s="27">
        <f>ROUND(G26*AO26,2)</f>
        <v>0</v>
      </c>
      <c r="J26" s="27">
        <f>ROUND(G26*AP26,2)</f>
        <v>0</v>
      </c>
      <c r="K26" s="27">
        <f>ROUND(G26*H26,2)</f>
        <v>0</v>
      </c>
      <c r="L26" s="27">
        <v>2.5249999999999999</v>
      </c>
      <c r="M26" s="27">
        <f>G26*L26</f>
        <v>10.302</v>
      </c>
      <c r="N26" s="28" t="s">
        <v>62</v>
      </c>
      <c r="Z26" s="27">
        <f>ROUND(IF(AQ26="5",BJ26,0),2)</f>
        <v>0</v>
      </c>
      <c r="AB26" s="27">
        <f>ROUND(IF(AQ26="1",BH26,0),2)</f>
        <v>0</v>
      </c>
      <c r="AC26" s="27">
        <f>ROUND(IF(AQ26="1",BI26,0),2)</f>
        <v>0</v>
      </c>
      <c r="AD26" s="27">
        <f>ROUND(IF(AQ26="7",BH26,0),2)</f>
        <v>0</v>
      </c>
      <c r="AE26" s="27">
        <f>ROUND(IF(AQ26="7",BI26,0),2)</f>
        <v>0</v>
      </c>
      <c r="AF26" s="27">
        <f>ROUND(IF(AQ26="2",BH26,0),2)</f>
        <v>0</v>
      </c>
      <c r="AG26" s="27">
        <f>ROUND(IF(AQ26="2",BI26,0),2)</f>
        <v>0</v>
      </c>
      <c r="AH26" s="27">
        <f>ROUND(IF(AQ26="0",BJ26,0),2)</f>
        <v>0</v>
      </c>
      <c r="AI26" s="10" t="s">
        <v>55</v>
      </c>
      <c r="AJ26" s="27">
        <f>IF(AN26=0,K26,0)</f>
        <v>0</v>
      </c>
      <c r="AK26" s="27">
        <f>IF(AN26=15,K26,0)</f>
        <v>0</v>
      </c>
      <c r="AL26" s="27">
        <f>IF(AN26=21,K26,0)</f>
        <v>0</v>
      </c>
      <c r="AN26" s="27">
        <v>21</v>
      </c>
      <c r="AO26" s="27">
        <f>H26*0.902800671</f>
        <v>0</v>
      </c>
      <c r="AP26" s="27">
        <f>H26*(1-0.902800671)</f>
        <v>0</v>
      </c>
      <c r="AQ26" s="29" t="s">
        <v>58</v>
      </c>
      <c r="AV26" s="27">
        <f>ROUND(AW26+AX26,2)</f>
        <v>0</v>
      </c>
      <c r="AW26" s="27">
        <f>ROUND(G26*AO26,2)</f>
        <v>0</v>
      </c>
      <c r="AX26" s="27">
        <f>ROUND(G26*AP26,2)</f>
        <v>0</v>
      </c>
      <c r="AY26" s="29" t="s">
        <v>100</v>
      </c>
      <c r="AZ26" s="29" t="s">
        <v>100</v>
      </c>
      <c r="BA26" s="10" t="s">
        <v>64</v>
      </c>
      <c r="BC26" s="27">
        <f>AW26+AX26</f>
        <v>0</v>
      </c>
      <c r="BD26" s="27">
        <f>H26/(100-BE26)*100</f>
        <v>0</v>
      </c>
      <c r="BE26" s="27">
        <v>0</v>
      </c>
      <c r="BF26" s="27">
        <f>M26</f>
        <v>10.302</v>
      </c>
      <c r="BH26" s="27">
        <f>G26*AO26</f>
        <v>0</v>
      </c>
      <c r="BI26" s="27">
        <f>G26*AP26</f>
        <v>0</v>
      </c>
      <c r="BJ26" s="27">
        <f>G26*H26</f>
        <v>0</v>
      </c>
      <c r="BK26" s="29" t="s">
        <v>65</v>
      </c>
      <c r="BL26" s="27">
        <v>27</v>
      </c>
      <c r="BW26" s="27">
        <v>21</v>
      </c>
      <c r="BX26" s="4" t="s">
        <v>103</v>
      </c>
    </row>
    <row r="27" spans="1:76">
      <c r="A27" s="2" t="s">
        <v>104</v>
      </c>
      <c r="B27" s="3" t="s">
        <v>55</v>
      </c>
      <c r="C27" s="3" t="s">
        <v>105</v>
      </c>
      <c r="D27" s="63" t="s">
        <v>106</v>
      </c>
      <c r="E27" s="64"/>
      <c r="F27" s="3" t="s">
        <v>93</v>
      </c>
      <c r="G27" s="27">
        <v>11.61</v>
      </c>
      <c r="H27" s="27">
        <v>0</v>
      </c>
      <c r="I27" s="27">
        <f>ROUND(G27*AO27,2)</f>
        <v>0</v>
      </c>
      <c r="J27" s="27">
        <f>ROUND(G27*AP27,2)</f>
        <v>0</v>
      </c>
      <c r="K27" s="27">
        <f>ROUND(G27*H27,2)</f>
        <v>0</v>
      </c>
      <c r="L27" s="27">
        <v>3.9149999999999997E-2</v>
      </c>
      <c r="M27" s="27">
        <f>G27*L27</f>
        <v>0.45453149999999992</v>
      </c>
      <c r="N27" s="28" t="s">
        <v>62</v>
      </c>
      <c r="Z27" s="27">
        <f>ROUND(IF(AQ27="5",BJ27,0),2)</f>
        <v>0</v>
      </c>
      <c r="AB27" s="27">
        <f>ROUND(IF(AQ27="1",BH27,0),2)</f>
        <v>0</v>
      </c>
      <c r="AC27" s="27">
        <f>ROUND(IF(AQ27="1",BI27,0),2)</f>
        <v>0</v>
      </c>
      <c r="AD27" s="27">
        <f>ROUND(IF(AQ27="7",BH27,0),2)</f>
        <v>0</v>
      </c>
      <c r="AE27" s="27">
        <f>ROUND(IF(AQ27="7",BI27,0),2)</f>
        <v>0</v>
      </c>
      <c r="AF27" s="27">
        <f>ROUND(IF(AQ27="2",BH27,0),2)</f>
        <v>0</v>
      </c>
      <c r="AG27" s="27">
        <f>ROUND(IF(AQ27="2",BI27,0),2)</f>
        <v>0</v>
      </c>
      <c r="AH27" s="27">
        <f>ROUND(IF(AQ27="0",BJ27,0),2)</f>
        <v>0</v>
      </c>
      <c r="AI27" s="10" t="s">
        <v>55</v>
      </c>
      <c r="AJ27" s="27">
        <f>IF(AN27=0,K27,0)</f>
        <v>0</v>
      </c>
      <c r="AK27" s="27">
        <f>IF(AN27=15,K27,0)</f>
        <v>0</v>
      </c>
      <c r="AL27" s="27">
        <f>IF(AN27=21,K27,0)</f>
        <v>0</v>
      </c>
      <c r="AN27" s="27">
        <v>21</v>
      </c>
      <c r="AO27" s="27">
        <f>H27*0.278056926</f>
        <v>0</v>
      </c>
      <c r="AP27" s="27">
        <f>H27*(1-0.278056926)</f>
        <v>0</v>
      </c>
      <c r="AQ27" s="29" t="s">
        <v>58</v>
      </c>
      <c r="AV27" s="27">
        <f>ROUND(AW27+AX27,2)</f>
        <v>0</v>
      </c>
      <c r="AW27" s="27">
        <f>ROUND(G27*AO27,2)</f>
        <v>0</v>
      </c>
      <c r="AX27" s="27">
        <f>ROUND(G27*AP27,2)</f>
        <v>0</v>
      </c>
      <c r="AY27" s="29" t="s">
        <v>100</v>
      </c>
      <c r="AZ27" s="29" t="s">
        <v>100</v>
      </c>
      <c r="BA27" s="10" t="s">
        <v>64</v>
      </c>
      <c r="BC27" s="27">
        <f>AW27+AX27</f>
        <v>0</v>
      </c>
      <c r="BD27" s="27">
        <f>H27/(100-BE27)*100</f>
        <v>0</v>
      </c>
      <c r="BE27" s="27">
        <v>0</v>
      </c>
      <c r="BF27" s="27">
        <f>M27</f>
        <v>0.45453149999999992</v>
      </c>
      <c r="BH27" s="27">
        <f>G27*AO27</f>
        <v>0</v>
      </c>
      <c r="BI27" s="27">
        <f>G27*AP27</f>
        <v>0</v>
      </c>
      <c r="BJ27" s="27">
        <f>G27*H27</f>
        <v>0</v>
      </c>
      <c r="BK27" s="29" t="s">
        <v>65</v>
      </c>
      <c r="BL27" s="27">
        <v>27</v>
      </c>
      <c r="BW27" s="27">
        <v>21</v>
      </c>
      <c r="BX27" s="4" t="s">
        <v>106</v>
      </c>
    </row>
    <row r="28" spans="1:76">
      <c r="A28" s="2" t="s">
        <v>56</v>
      </c>
      <c r="B28" s="3" t="s">
        <v>55</v>
      </c>
      <c r="C28" s="3" t="s">
        <v>107</v>
      </c>
      <c r="D28" s="63" t="s">
        <v>108</v>
      </c>
      <c r="E28" s="64"/>
      <c r="F28" s="3" t="s">
        <v>93</v>
      </c>
      <c r="G28" s="27">
        <v>11.61</v>
      </c>
      <c r="H28" s="27">
        <v>0</v>
      </c>
      <c r="I28" s="27">
        <f>ROUND(G28*AO28,2)</f>
        <v>0</v>
      </c>
      <c r="J28" s="27">
        <f>ROUND(G28*AP28,2)</f>
        <v>0</v>
      </c>
      <c r="K28" s="27">
        <f>ROUND(G28*H28,2)</f>
        <v>0</v>
      </c>
      <c r="L28" s="27">
        <v>0</v>
      </c>
      <c r="M28" s="27">
        <f>G28*L28</f>
        <v>0</v>
      </c>
      <c r="N28" s="28" t="s">
        <v>62</v>
      </c>
      <c r="Z28" s="27">
        <f>ROUND(IF(AQ28="5",BJ28,0),2)</f>
        <v>0</v>
      </c>
      <c r="AB28" s="27">
        <f>ROUND(IF(AQ28="1",BH28,0),2)</f>
        <v>0</v>
      </c>
      <c r="AC28" s="27">
        <f>ROUND(IF(AQ28="1",BI28,0),2)</f>
        <v>0</v>
      </c>
      <c r="AD28" s="27">
        <f>ROUND(IF(AQ28="7",BH28,0),2)</f>
        <v>0</v>
      </c>
      <c r="AE28" s="27">
        <f>ROUND(IF(AQ28="7",BI28,0),2)</f>
        <v>0</v>
      </c>
      <c r="AF28" s="27">
        <f>ROUND(IF(AQ28="2",BH28,0),2)</f>
        <v>0</v>
      </c>
      <c r="AG28" s="27">
        <f>ROUND(IF(AQ28="2",BI28,0),2)</f>
        <v>0</v>
      </c>
      <c r="AH28" s="27">
        <f>ROUND(IF(AQ28="0",BJ28,0),2)</f>
        <v>0</v>
      </c>
      <c r="AI28" s="10" t="s">
        <v>55</v>
      </c>
      <c r="AJ28" s="27">
        <f>IF(AN28=0,K28,0)</f>
        <v>0</v>
      </c>
      <c r="AK28" s="27">
        <f>IF(AN28=15,K28,0)</f>
        <v>0</v>
      </c>
      <c r="AL28" s="27">
        <f>IF(AN28=21,K28,0)</f>
        <v>0</v>
      </c>
      <c r="AN28" s="27">
        <v>21</v>
      </c>
      <c r="AO28" s="27">
        <f>H28*0</f>
        <v>0</v>
      </c>
      <c r="AP28" s="27">
        <f>H28*(1-0)</f>
        <v>0</v>
      </c>
      <c r="AQ28" s="29" t="s">
        <v>58</v>
      </c>
      <c r="AV28" s="27">
        <f>ROUND(AW28+AX28,2)</f>
        <v>0</v>
      </c>
      <c r="AW28" s="27">
        <f>ROUND(G28*AO28,2)</f>
        <v>0</v>
      </c>
      <c r="AX28" s="27">
        <f>ROUND(G28*AP28,2)</f>
        <v>0</v>
      </c>
      <c r="AY28" s="29" t="s">
        <v>100</v>
      </c>
      <c r="AZ28" s="29" t="s">
        <v>100</v>
      </c>
      <c r="BA28" s="10" t="s">
        <v>64</v>
      </c>
      <c r="BC28" s="27">
        <f>AW28+AX28</f>
        <v>0</v>
      </c>
      <c r="BD28" s="27">
        <f>H28/(100-BE28)*100</f>
        <v>0</v>
      </c>
      <c r="BE28" s="27">
        <v>0</v>
      </c>
      <c r="BF28" s="27">
        <f>M28</f>
        <v>0</v>
      </c>
      <c r="BH28" s="27">
        <f>G28*AO28</f>
        <v>0</v>
      </c>
      <c r="BI28" s="27">
        <f>G28*AP28</f>
        <v>0</v>
      </c>
      <c r="BJ28" s="27">
        <f>G28*H28</f>
        <v>0</v>
      </c>
      <c r="BK28" s="29" t="s">
        <v>65</v>
      </c>
      <c r="BL28" s="27">
        <v>27</v>
      </c>
      <c r="BW28" s="27">
        <v>21</v>
      </c>
      <c r="BX28" s="4" t="s">
        <v>108</v>
      </c>
    </row>
    <row r="29" spans="1:76">
      <c r="A29" s="30" t="s">
        <v>55</v>
      </c>
      <c r="B29" s="31" t="s">
        <v>55</v>
      </c>
      <c r="C29" s="31" t="s">
        <v>109</v>
      </c>
      <c r="D29" s="65" t="s">
        <v>110</v>
      </c>
      <c r="E29" s="66"/>
      <c r="F29" s="32" t="s">
        <v>35</v>
      </c>
      <c r="G29" s="32" t="s">
        <v>35</v>
      </c>
      <c r="H29" s="32" t="s">
        <v>35</v>
      </c>
      <c r="I29" s="1">
        <f>ROUND(SUM(I30:I32),2)</f>
        <v>0</v>
      </c>
      <c r="J29" s="1">
        <f>ROUND(SUM(J30:J32),2)</f>
        <v>0</v>
      </c>
      <c r="K29" s="1">
        <f>ROUND(SUM(K30:K32),2)</f>
        <v>0</v>
      </c>
      <c r="L29" s="10" t="s">
        <v>55</v>
      </c>
      <c r="M29" s="1">
        <f>SUM(M30:M32)</f>
        <v>6.5316487999999993</v>
      </c>
      <c r="N29" s="33" t="s">
        <v>55</v>
      </c>
      <c r="AI29" s="10" t="s">
        <v>55</v>
      </c>
      <c r="AS29" s="1">
        <f>SUM(AJ30:AJ32)</f>
        <v>0</v>
      </c>
      <c r="AT29" s="1">
        <f>SUM(AK30:AK32)</f>
        <v>0</v>
      </c>
      <c r="AU29" s="1">
        <f>SUM(AL30:AL32)</f>
        <v>0</v>
      </c>
    </row>
    <row r="30" spans="1:76" ht="25.5">
      <c r="A30" s="2" t="s">
        <v>66</v>
      </c>
      <c r="B30" s="3" t="s">
        <v>55</v>
      </c>
      <c r="C30" s="3" t="s">
        <v>111</v>
      </c>
      <c r="D30" s="63" t="s">
        <v>112</v>
      </c>
      <c r="E30" s="64"/>
      <c r="F30" s="3" t="s">
        <v>93</v>
      </c>
      <c r="G30" s="27">
        <v>12.58</v>
      </c>
      <c r="H30" s="27">
        <v>0</v>
      </c>
      <c r="I30" s="27">
        <f>ROUND(G30*AO30,2)</f>
        <v>0</v>
      </c>
      <c r="J30" s="27">
        <f>ROUND(G30*AP30,2)</f>
        <v>0</v>
      </c>
      <c r="K30" s="27">
        <f>ROUND(G30*H30,2)</f>
        <v>0</v>
      </c>
      <c r="L30" s="27">
        <v>0.49559999999999998</v>
      </c>
      <c r="M30" s="27">
        <f>G30*L30</f>
        <v>6.234648</v>
      </c>
      <c r="N30" s="28" t="s">
        <v>62</v>
      </c>
      <c r="Z30" s="27">
        <f>ROUND(IF(AQ30="5",BJ30,0),2)</f>
        <v>0</v>
      </c>
      <c r="AB30" s="27">
        <f>ROUND(IF(AQ30="1",BH30,0),2)</f>
        <v>0</v>
      </c>
      <c r="AC30" s="27">
        <f>ROUND(IF(AQ30="1",BI30,0),2)</f>
        <v>0</v>
      </c>
      <c r="AD30" s="27">
        <f>ROUND(IF(AQ30="7",BH30,0),2)</f>
        <v>0</v>
      </c>
      <c r="AE30" s="27">
        <f>ROUND(IF(AQ30="7",BI30,0),2)</f>
        <v>0</v>
      </c>
      <c r="AF30" s="27">
        <f>ROUND(IF(AQ30="2",BH30,0),2)</f>
        <v>0</v>
      </c>
      <c r="AG30" s="27">
        <f>ROUND(IF(AQ30="2",BI30,0),2)</f>
        <v>0</v>
      </c>
      <c r="AH30" s="27">
        <f>ROUND(IF(AQ30="0",BJ30,0),2)</f>
        <v>0</v>
      </c>
      <c r="AI30" s="10" t="s">
        <v>55</v>
      </c>
      <c r="AJ30" s="27">
        <f>IF(AN30=0,K30,0)</f>
        <v>0</v>
      </c>
      <c r="AK30" s="27">
        <f>IF(AN30=15,K30,0)</f>
        <v>0</v>
      </c>
      <c r="AL30" s="27">
        <f>IF(AN30=21,K30,0)</f>
        <v>0</v>
      </c>
      <c r="AN30" s="27">
        <v>21</v>
      </c>
      <c r="AO30" s="27">
        <f>H30*0.649316828</f>
        <v>0</v>
      </c>
      <c r="AP30" s="27">
        <f>H30*(1-0.649316828)</f>
        <v>0</v>
      </c>
      <c r="AQ30" s="29" t="s">
        <v>58</v>
      </c>
      <c r="AV30" s="27">
        <f>ROUND(AW30+AX30,2)</f>
        <v>0</v>
      </c>
      <c r="AW30" s="27">
        <f>ROUND(G30*AO30,2)</f>
        <v>0</v>
      </c>
      <c r="AX30" s="27">
        <f>ROUND(G30*AP30,2)</f>
        <v>0</v>
      </c>
      <c r="AY30" s="29" t="s">
        <v>113</v>
      </c>
      <c r="AZ30" s="29" t="s">
        <v>113</v>
      </c>
      <c r="BA30" s="10" t="s">
        <v>64</v>
      </c>
      <c r="BC30" s="27">
        <f>AW30+AX30</f>
        <v>0</v>
      </c>
      <c r="BD30" s="27">
        <f>H30/(100-BE30)*100</f>
        <v>0</v>
      </c>
      <c r="BE30" s="27">
        <v>0</v>
      </c>
      <c r="BF30" s="27">
        <f>M30</f>
        <v>6.234648</v>
      </c>
      <c r="BH30" s="27">
        <f>G30*AO30</f>
        <v>0</v>
      </c>
      <c r="BI30" s="27">
        <f>G30*AP30</f>
        <v>0</v>
      </c>
      <c r="BJ30" s="27">
        <f>G30*H30</f>
        <v>0</v>
      </c>
      <c r="BK30" s="29" t="s">
        <v>65</v>
      </c>
      <c r="BL30" s="27">
        <v>31</v>
      </c>
      <c r="BW30" s="27">
        <v>21</v>
      </c>
      <c r="BX30" s="4" t="s">
        <v>112</v>
      </c>
    </row>
    <row r="31" spans="1:76" ht="25.5">
      <c r="A31" s="2" t="s">
        <v>114</v>
      </c>
      <c r="B31" s="3" t="s">
        <v>55</v>
      </c>
      <c r="C31" s="3" t="s">
        <v>115</v>
      </c>
      <c r="D31" s="63" t="s">
        <v>116</v>
      </c>
      <c r="E31" s="64"/>
      <c r="F31" s="3" t="s">
        <v>117</v>
      </c>
      <c r="G31" s="27">
        <v>0.128</v>
      </c>
      <c r="H31" s="27">
        <v>0</v>
      </c>
      <c r="I31" s="27">
        <f>ROUND(G31*AO31,2)</f>
        <v>0</v>
      </c>
      <c r="J31" s="27">
        <f>ROUND(G31*AP31,2)</f>
        <v>0</v>
      </c>
      <c r="K31" s="27">
        <f>ROUND(G31*H31,2)</f>
        <v>0</v>
      </c>
      <c r="L31" s="27">
        <v>1.0210999999999999</v>
      </c>
      <c r="M31" s="27">
        <f>G31*L31</f>
        <v>0.13070079999999998</v>
      </c>
      <c r="N31" s="28" t="s">
        <v>62</v>
      </c>
      <c r="Z31" s="27">
        <f>ROUND(IF(AQ31="5",BJ31,0),2)</f>
        <v>0</v>
      </c>
      <c r="AB31" s="27">
        <f>ROUND(IF(AQ31="1",BH31,0),2)</f>
        <v>0</v>
      </c>
      <c r="AC31" s="27">
        <f>ROUND(IF(AQ31="1",BI31,0),2)</f>
        <v>0</v>
      </c>
      <c r="AD31" s="27">
        <f>ROUND(IF(AQ31="7",BH31,0),2)</f>
        <v>0</v>
      </c>
      <c r="AE31" s="27">
        <f>ROUND(IF(AQ31="7",BI31,0),2)</f>
        <v>0</v>
      </c>
      <c r="AF31" s="27">
        <f>ROUND(IF(AQ31="2",BH31,0),2)</f>
        <v>0</v>
      </c>
      <c r="AG31" s="27">
        <f>ROUND(IF(AQ31="2",BI31,0),2)</f>
        <v>0</v>
      </c>
      <c r="AH31" s="27">
        <f>ROUND(IF(AQ31="0",BJ31,0),2)</f>
        <v>0</v>
      </c>
      <c r="AI31" s="10" t="s">
        <v>55</v>
      </c>
      <c r="AJ31" s="27">
        <f>IF(AN31=0,K31,0)</f>
        <v>0</v>
      </c>
      <c r="AK31" s="27">
        <f>IF(AN31=15,K31,0)</f>
        <v>0</v>
      </c>
      <c r="AL31" s="27">
        <f>IF(AN31=21,K31,0)</f>
        <v>0</v>
      </c>
      <c r="AN31" s="27">
        <v>21</v>
      </c>
      <c r="AO31" s="27">
        <f>H31*0.686291988</f>
        <v>0</v>
      </c>
      <c r="AP31" s="27">
        <f>H31*(1-0.686291988)</f>
        <v>0</v>
      </c>
      <c r="AQ31" s="29" t="s">
        <v>58</v>
      </c>
      <c r="AV31" s="27">
        <f>ROUND(AW31+AX31,2)</f>
        <v>0</v>
      </c>
      <c r="AW31" s="27">
        <f>ROUND(G31*AO31,2)</f>
        <v>0</v>
      </c>
      <c r="AX31" s="27">
        <f>ROUND(G31*AP31,2)</f>
        <v>0</v>
      </c>
      <c r="AY31" s="29" t="s">
        <v>113</v>
      </c>
      <c r="AZ31" s="29" t="s">
        <v>113</v>
      </c>
      <c r="BA31" s="10" t="s">
        <v>64</v>
      </c>
      <c r="BC31" s="27">
        <f>AW31+AX31</f>
        <v>0</v>
      </c>
      <c r="BD31" s="27">
        <f>H31/(100-BE31)*100</f>
        <v>0</v>
      </c>
      <c r="BE31" s="27">
        <v>0</v>
      </c>
      <c r="BF31" s="27">
        <f>M31</f>
        <v>0.13070079999999998</v>
      </c>
      <c r="BH31" s="27">
        <f>G31*AO31</f>
        <v>0</v>
      </c>
      <c r="BI31" s="27">
        <f>G31*AP31</f>
        <v>0</v>
      </c>
      <c r="BJ31" s="27">
        <f>G31*H31</f>
        <v>0</v>
      </c>
      <c r="BK31" s="29" t="s">
        <v>65</v>
      </c>
      <c r="BL31" s="27">
        <v>31</v>
      </c>
      <c r="BW31" s="27">
        <v>21</v>
      </c>
      <c r="BX31" s="4" t="s">
        <v>116</v>
      </c>
    </row>
    <row r="32" spans="1:76">
      <c r="A32" s="2" t="s">
        <v>118</v>
      </c>
      <c r="B32" s="3" t="s">
        <v>55</v>
      </c>
      <c r="C32" s="3" t="s">
        <v>119</v>
      </c>
      <c r="D32" s="63" t="s">
        <v>120</v>
      </c>
      <c r="E32" s="64"/>
      <c r="F32" s="3" t="s">
        <v>121</v>
      </c>
      <c r="G32" s="27">
        <v>10</v>
      </c>
      <c r="H32" s="27">
        <v>0</v>
      </c>
      <c r="I32" s="27">
        <f>ROUND(G32*AO32,2)</f>
        <v>0</v>
      </c>
      <c r="J32" s="27">
        <f>ROUND(G32*AP32,2)</f>
        <v>0</v>
      </c>
      <c r="K32" s="27">
        <f>ROUND(G32*H32,2)</f>
        <v>0</v>
      </c>
      <c r="L32" s="27">
        <v>1.6629999999999999E-2</v>
      </c>
      <c r="M32" s="27">
        <f>G32*L32</f>
        <v>0.1663</v>
      </c>
      <c r="N32" s="28" t="s">
        <v>62</v>
      </c>
      <c r="Z32" s="27">
        <f>ROUND(IF(AQ32="5",BJ32,0),2)</f>
        <v>0</v>
      </c>
      <c r="AB32" s="27">
        <f>ROUND(IF(AQ32="1",BH32,0),2)</f>
        <v>0</v>
      </c>
      <c r="AC32" s="27">
        <f>ROUND(IF(AQ32="1",BI32,0),2)</f>
        <v>0</v>
      </c>
      <c r="AD32" s="27">
        <f>ROUND(IF(AQ32="7",BH32,0),2)</f>
        <v>0</v>
      </c>
      <c r="AE32" s="27">
        <f>ROUND(IF(AQ32="7",BI32,0),2)</f>
        <v>0</v>
      </c>
      <c r="AF32" s="27">
        <f>ROUND(IF(AQ32="2",BH32,0),2)</f>
        <v>0</v>
      </c>
      <c r="AG32" s="27">
        <f>ROUND(IF(AQ32="2",BI32,0),2)</f>
        <v>0</v>
      </c>
      <c r="AH32" s="27">
        <f>ROUND(IF(AQ32="0",BJ32,0),2)</f>
        <v>0</v>
      </c>
      <c r="AI32" s="10" t="s">
        <v>55</v>
      </c>
      <c r="AJ32" s="27">
        <f>IF(AN32=0,K32,0)</f>
        <v>0</v>
      </c>
      <c r="AK32" s="27">
        <f>IF(AN32=15,K32,0)</f>
        <v>0</v>
      </c>
      <c r="AL32" s="27">
        <f>IF(AN32=21,K32,0)</f>
        <v>0</v>
      </c>
      <c r="AN32" s="27">
        <v>21</v>
      </c>
      <c r="AO32" s="27">
        <f>H32*0.044483261</f>
        <v>0</v>
      </c>
      <c r="AP32" s="27">
        <f>H32*(1-0.044483261)</f>
        <v>0</v>
      </c>
      <c r="AQ32" s="29" t="s">
        <v>58</v>
      </c>
      <c r="AV32" s="27">
        <f>ROUND(AW32+AX32,2)</f>
        <v>0</v>
      </c>
      <c r="AW32" s="27">
        <f>ROUND(G32*AO32,2)</f>
        <v>0</v>
      </c>
      <c r="AX32" s="27">
        <f>ROUND(G32*AP32,2)</f>
        <v>0</v>
      </c>
      <c r="AY32" s="29" t="s">
        <v>113</v>
      </c>
      <c r="AZ32" s="29" t="s">
        <v>113</v>
      </c>
      <c r="BA32" s="10" t="s">
        <v>64</v>
      </c>
      <c r="BC32" s="27">
        <f>AW32+AX32</f>
        <v>0</v>
      </c>
      <c r="BD32" s="27">
        <f>H32/(100-BE32)*100</f>
        <v>0</v>
      </c>
      <c r="BE32" s="27">
        <v>0</v>
      </c>
      <c r="BF32" s="27">
        <f>M32</f>
        <v>0.1663</v>
      </c>
      <c r="BH32" s="27">
        <f>G32*AO32</f>
        <v>0</v>
      </c>
      <c r="BI32" s="27">
        <f>G32*AP32</f>
        <v>0</v>
      </c>
      <c r="BJ32" s="27">
        <f>G32*H32</f>
        <v>0</v>
      </c>
      <c r="BK32" s="29" t="s">
        <v>65</v>
      </c>
      <c r="BL32" s="27">
        <v>31</v>
      </c>
      <c r="BW32" s="27">
        <v>21</v>
      </c>
      <c r="BX32" s="4" t="s">
        <v>120</v>
      </c>
    </row>
    <row r="33" spans="1:76">
      <c r="A33" s="30" t="s">
        <v>55</v>
      </c>
      <c r="B33" s="31" t="s">
        <v>55</v>
      </c>
      <c r="C33" s="31" t="s">
        <v>122</v>
      </c>
      <c r="D33" s="65" t="s">
        <v>123</v>
      </c>
      <c r="E33" s="66"/>
      <c r="F33" s="32" t="s">
        <v>35</v>
      </c>
      <c r="G33" s="32" t="s">
        <v>35</v>
      </c>
      <c r="H33" s="32"/>
      <c r="I33" s="1">
        <f>ROUND(SUM(I34:I35),2)</f>
        <v>0</v>
      </c>
      <c r="J33" s="1">
        <f>ROUND(SUM(J34:J35),2)</f>
        <v>0</v>
      </c>
      <c r="K33" s="1">
        <f>ROUND(SUM(K34:K35),2)</f>
        <v>0</v>
      </c>
      <c r="L33" s="10" t="s">
        <v>55</v>
      </c>
      <c r="M33" s="1">
        <f>SUM(M34:M35)</f>
        <v>7.6871520000000002</v>
      </c>
      <c r="N33" s="33" t="s">
        <v>55</v>
      </c>
      <c r="AI33" s="10" t="s">
        <v>55</v>
      </c>
      <c r="AS33" s="1">
        <f>SUM(AJ34:AJ35)</f>
        <v>0</v>
      </c>
      <c r="AT33" s="1">
        <f>SUM(AK34:AK35)</f>
        <v>0</v>
      </c>
      <c r="AU33" s="1">
        <f>SUM(AL34:AL35)</f>
        <v>0</v>
      </c>
    </row>
    <row r="34" spans="1:76">
      <c r="A34" s="2" t="s">
        <v>79</v>
      </c>
      <c r="B34" s="3" t="s">
        <v>55</v>
      </c>
      <c r="C34" s="3" t="s">
        <v>124</v>
      </c>
      <c r="D34" s="63" t="s">
        <v>125</v>
      </c>
      <c r="E34" s="64"/>
      <c r="F34" s="3" t="s">
        <v>93</v>
      </c>
      <c r="G34" s="27">
        <v>23.21</v>
      </c>
      <c r="H34" s="27">
        <v>0</v>
      </c>
      <c r="I34" s="27">
        <f>ROUND(G34*AO34,2)</f>
        <v>0</v>
      </c>
      <c r="J34" s="27">
        <f>ROUND(G34*AP34,2)</f>
        <v>0</v>
      </c>
      <c r="K34" s="27">
        <f>ROUND(G34*H34,2)</f>
        <v>0</v>
      </c>
      <c r="L34" s="27">
        <v>0.1012</v>
      </c>
      <c r="M34" s="27">
        <f>G34*L34</f>
        <v>2.3488519999999999</v>
      </c>
      <c r="N34" s="28" t="s">
        <v>62</v>
      </c>
      <c r="Z34" s="27">
        <f>ROUND(IF(AQ34="5",BJ34,0),2)</f>
        <v>0</v>
      </c>
      <c r="AB34" s="27">
        <f>ROUND(IF(AQ34="1",BH34,0),2)</f>
        <v>0</v>
      </c>
      <c r="AC34" s="27">
        <f>ROUND(IF(AQ34="1",BI34,0),2)</f>
        <v>0</v>
      </c>
      <c r="AD34" s="27">
        <f>ROUND(IF(AQ34="7",BH34,0),2)</f>
        <v>0</v>
      </c>
      <c r="AE34" s="27">
        <f>ROUND(IF(AQ34="7",BI34,0),2)</f>
        <v>0</v>
      </c>
      <c r="AF34" s="27">
        <f>ROUND(IF(AQ34="2",BH34,0),2)</f>
        <v>0</v>
      </c>
      <c r="AG34" s="27">
        <f>ROUND(IF(AQ34="2",BI34,0),2)</f>
        <v>0</v>
      </c>
      <c r="AH34" s="27">
        <f>ROUND(IF(AQ34="0",BJ34,0),2)</f>
        <v>0</v>
      </c>
      <c r="AI34" s="10" t="s">
        <v>55</v>
      </c>
      <c r="AJ34" s="27">
        <f>IF(AN34=0,K34,0)</f>
        <v>0</v>
      </c>
      <c r="AK34" s="27">
        <f>IF(AN34=15,K34,0)</f>
        <v>0</v>
      </c>
      <c r="AL34" s="27">
        <f>IF(AN34=21,K34,0)</f>
        <v>0</v>
      </c>
      <c r="AN34" s="27">
        <v>21</v>
      </c>
      <c r="AO34" s="27">
        <f>H34*0.724127739</f>
        <v>0</v>
      </c>
      <c r="AP34" s="27">
        <f>H34*(1-0.724127739)</f>
        <v>0</v>
      </c>
      <c r="AQ34" s="29" t="s">
        <v>58</v>
      </c>
      <c r="AV34" s="27">
        <f>ROUND(AW34+AX34,2)</f>
        <v>0</v>
      </c>
      <c r="AW34" s="27">
        <f>ROUND(G34*AO34,2)</f>
        <v>0</v>
      </c>
      <c r="AX34" s="27">
        <f>ROUND(G34*AP34,2)</f>
        <v>0</v>
      </c>
      <c r="AY34" s="29" t="s">
        <v>126</v>
      </c>
      <c r="AZ34" s="29" t="s">
        <v>126</v>
      </c>
      <c r="BA34" s="10" t="s">
        <v>64</v>
      </c>
      <c r="BC34" s="27">
        <f>AW34+AX34</f>
        <v>0</v>
      </c>
      <c r="BD34" s="27">
        <f>H34/(100-BE34)*100</f>
        <v>0</v>
      </c>
      <c r="BE34" s="27">
        <v>0</v>
      </c>
      <c r="BF34" s="27">
        <f>M34</f>
        <v>2.3488519999999999</v>
      </c>
      <c r="BH34" s="27">
        <f>G34*AO34</f>
        <v>0</v>
      </c>
      <c r="BI34" s="27">
        <f>G34*AP34</f>
        <v>0</v>
      </c>
      <c r="BJ34" s="27">
        <f>G34*H34</f>
        <v>0</v>
      </c>
      <c r="BK34" s="29" t="s">
        <v>65</v>
      </c>
      <c r="BL34" s="27">
        <v>56</v>
      </c>
      <c r="BW34" s="27">
        <v>21</v>
      </c>
      <c r="BX34" s="4" t="s">
        <v>125</v>
      </c>
    </row>
    <row r="35" spans="1:76" ht="25.5">
      <c r="A35" s="2" t="s">
        <v>127</v>
      </c>
      <c r="B35" s="3" t="s">
        <v>55</v>
      </c>
      <c r="C35" s="3" t="s">
        <v>128</v>
      </c>
      <c r="D35" s="63" t="s">
        <v>129</v>
      </c>
      <c r="E35" s="64"/>
      <c r="F35" s="3" t="s">
        <v>93</v>
      </c>
      <c r="G35" s="27">
        <v>23.21</v>
      </c>
      <c r="H35" s="27">
        <v>0</v>
      </c>
      <c r="I35" s="27">
        <f>ROUND(G35*AO35,2)</f>
        <v>0</v>
      </c>
      <c r="J35" s="27">
        <f>ROUND(G35*AP35,2)</f>
        <v>0</v>
      </c>
      <c r="K35" s="27">
        <f>ROUND(G35*H35,2)</f>
        <v>0</v>
      </c>
      <c r="L35" s="27">
        <v>0.23</v>
      </c>
      <c r="M35" s="27">
        <f>G35*L35</f>
        <v>5.3383000000000003</v>
      </c>
      <c r="N35" s="28" t="s">
        <v>62</v>
      </c>
      <c r="Z35" s="27">
        <f>ROUND(IF(AQ35="5",BJ35,0),2)</f>
        <v>0</v>
      </c>
      <c r="AB35" s="27">
        <f>ROUND(IF(AQ35="1",BH35,0),2)</f>
        <v>0</v>
      </c>
      <c r="AC35" s="27">
        <f>ROUND(IF(AQ35="1",BI35,0),2)</f>
        <v>0</v>
      </c>
      <c r="AD35" s="27">
        <f>ROUND(IF(AQ35="7",BH35,0),2)</f>
        <v>0</v>
      </c>
      <c r="AE35" s="27">
        <f>ROUND(IF(AQ35="7",BI35,0),2)</f>
        <v>0</v>
      </c>
      <c r="AF35" s="27">
        <f>ROUND(IF(AQ35="2",BH35,0),2)</f>
        <v>0</v>
      </c>
      <c r="AG35" s="27">
        <f>ROUND(IF(AQ35="2",BI35,0),2)</f>
        <v>0</v>
      </c>
      <c r="AH35" s="27">
        <f>ROUND(IF(AQ35="0",BJ35,0),2)</f>
        <v>0</v>
      </c>
      <c r="AI35" s="10" t="s">
        <v>55</v>
      </c>
      <c r="AJ35" s="27">
        <f>IF(AN35=0,K35,0)</f>
        <v>0</v>
      </c>
      <c r="AK35" s="27">
        <f>IF(AN35=15,K35,0)</f>
        <v>0</v>
      </c>
      <c r="AL35" s="27">
        <f>IF(AN35=21,K35,0)</f>
        <v>0</v>
      </c>
      <c r="AN35" s="27">
        <v>21</v>
      </c>
      <c r="AO35" s="27">
        <f>H35*0.845037865</f>
        <v>0</v>
      </c>
      <c r="AP35" s="27">
        <f>H35*(1-0.845037865)</f>
        <v>0</v>
      </c>
      <c r="AQ35" s="29" t="s">
        <v>58</v>
      </c>
      <c r="AV35" s="27">
        <f>ROUND(AW35+AX35,2)</f>
        <v>0</v>
      </c>
      <c r="AW35" s="27">
        <f>ROUND(G35*AO35,2)</f>
        <v>0</v>
      </c>
      <c r="AX35" s="27">
        <f>ROUND(G35*AP35,2)</f>
        <v>0</v>
      </c>
      <c r="AY35" s="29" t="s">
        <v>126</v>
      </c>
      <c r="AZ35" s="29" t="s">
        <v>126</v>
      </c>
      <c r="BA35" s="10" t="s">
        <v>64</v>
      </c>
      <c r="BC35" s="27">
        <f>AW35+AX35</f>
        <v>0</v>
      </c>
      <c r="BD35" s="27">
        <f>H35/(100-BE35)*100</f>
        <v>0</v>
      </c>
      <c r="BE35" s="27">
        <v>0</v>
      </c>
      <c r="BF35" s="27">
        <f>M35</f>
        <v>5.3383000000000003</v>
      </c>
      <c r="BH35" s="27">
        <f>G35*AO35</f>
        <v>0</v>
      </c>
      <c r="BI35" s="27">
        <f>G35*AP35</f>
        <v>0</v>
      </c>
      <c r="BJ35" s="27">
        <f>G35*H35</f>
        <v>0</v>
      </c>
      <c r="BK35" s="29" t="s">
        <v>65</v>
      </c>
      <c r="BL35" s="27">
        <v>56</v>
      </c>
      <c r="BW35" s="27">
        <v>21</v>
      </c>
      <c r="BX35" s="4" t="s">
        <v>129</v>
      </c>
    </row>
    <row r="36" spans="1:76">
      <c r="A36" s="30" t="s">
        <v>55</v>
      </c>
      <c r="B36" s="31" t="s">
        <v>55</v>
      </c>
      <c r="C36" s="31" t="s">
        <v>130</v>
      </c>
      <c r="D36" s="65" t="s">
        <v>131</v>
      </c>
      <c r="E36" s="66"/>
      <c r="F36" s="32" t="s">
        <v>35</v>
      </c>
      <c r="G36" s="32" t="s">
        <v>35</v>
      </c>
      <c r="H36" s="32" t="s">
        <v>35</v>
      </c>
      <c r="I36" s="1">
        <f>ROUND(SUM(I37:I38),2)</f>
        <v>0</v>
      </c>
      <c r="J36" s="1">
        <f>ROUND(SUM(J37:J38),2)</f>
        <v>0</v>
      </c>
      <c r="K36" s="1">
        <f>ROUND(SUM(K37:K38),2)</f>
        <v>0</v>
      </c>
      <c r="L36" s="10" t="s">
        <v>55</v>
      </c>
      <c r="M36" s="1">
        <f>SUM(M37:M38)</f>
        <v>1.7217793999999997</v>
      </c>
      <c r="N36" s="33" t="s">
        <v>55</v>
      </c>
      <c r="AI36" s="10" t="s">
        <v>55</v>
      </c>
      <c r="AS36" s="1">
        <f>SUM(AJ37:AJ38)</f>
        <v>0</v>
      </c>
      <c r="AT36" s="1">
        <f>SUM(AK37:AK38)</f>
        <v>0</v>
      </c>
      <c r="AU36" s="1">
        <f>SUM(AL37:AL38)</f>
        <v>0</v>
      </c>
    </row>
    <row r="37" spans="1:76">
      <c r="A37" s="2" t="s">
        <v>88</v>
      </c>
      <c r="B37" s="3" t="s">
        <v>55</v>
      </c>
      <c r="C37" s="3" t="s">
        <v>132</v>
      </c>
      <c r="D37" s="63" t="s">
        <v>133</v>
      </c>
      <c r="E37" s="64"/>
      <c r="F37" s="3" t="s">
        <v>93</v>
      </c>
      <c r="G37" s="27">
        <v>23.21</v>
      </c>
      <c r="H37" s="27">
        <v>0</v>
      </c>
      <c r="I37" s="27">
        <f>ROUND(G37*AO37,2)</f>
        <v>0</v>
      </c>
      <c r="J37" s="27">
        <f>ROUND(G37*AP37,2)</f>
        <v>0</v>
      </c>
      <c r="K37" s="27">
        <f>ROUND(G37*H37,2)</f>
        <v>0</v>
      </c>
      <c r="L37" s="27">
        <v>7.3899999999999993E-2</v>
      </c>
      <c r="M37" s="27">
        <f>G37*L37</f>
        <v>1.7152189999999998</v>
      </c>
      <c r="N37" s="28" t="s">
        <v>62</v>
      </c>
      <c r="Z37" s="27">
        <f>ROUND(IF(AQ37="5",BJ37,0),2)</f>
        <v>0</v>
      </c>
      <c r="AB37" s="27">
        <f>ROUND(IF(AQ37="1",BH37,0),2)</f>
        <v>0</v>
      </c>
      <c r="AC37" s="27">
        <f>ROUND(IF(AQ37="1",BI37,0),2)</f>
        <v>0</v>
      </c>
      <c r="AD37" s="27">
        <f>ROUND(IF(AQ37="7",BH37,0),2)</f>
        <v>0</v>
      </c>
      <c r="AE37" s="27">
        <f>ROUND(IF(AQ37="7",BI37,0),2)</f>
        <v>0</v>
      </c>
      <c r="AF37" s="27">
        <f>ROUND(IF(AQ37="2",BH37,0),2)</f>
        <v>0</v>
      </c>
      <c r="AG37" s="27">
        <f>ROUND(IF(AQ37="2",BI37,0),2)</f>
        <v>0</v>
      </c>
      <c r="AH37" s="27">
        <f>ROUND(IF(AQ37="0",BJ37,0),2)</f>
        <v>0</v>
      </c>
      <c r="AI37" s="10" t="s">
        <v>55</v>
      </c>
      <c r="AJ37" s="27">
        <f>IF(AN37=0,K37,0)</f>
        <v>0</v>
      </c>
      <c r="AK37" s="27">
        <f>IF(AN37=15,K37,0)</f>
        <v>0</v>
      </c>
      <c r="AL37" s="27">
        <f>IF(AN37=21,K37,0)</f>
        <v>0</v>
      </c>
      <c r="AN37" s="27">
        <v>21</v>
      </c>
      <c r="AO37" s="27">
        <f>H37*0.156479773</f>
        <v>0</v>
      </c>
      <c r="AP37" s="27">
        <f>H37*(1-0.156479773)</f>
        <v>0</v>
      </c>
      <c r="AQ37" s="29" t="s">
        <v>58</v>
      </c>
      <c r="AV37" s="27">
        <f>ROUND(AW37+AX37,2)</f>
        <v>0</v>
      </c>
      <c r="AW37" s="27">
        <f>ROUND(G37*AO37,2)</f>
        <v>0</v>
      </c>
      <c r="AX37" s="27">
        <f>ROUND(G37*AP37,2)</f>
        <v>0</v>
      </c>
      <c r="AY37" s="29" t="s">
        <v>134</v>
      </c>
      <c r="AZ37" s="29" t="s">
        <v>134</v>
      </c>
      <c r="BA37" s="10" t="s">
        <v>64</v>
      </c>
      <c r="BC37" s="27">
        <f>AW37+AX37</f>
        <v>0</v>
      </c>
      <c r="BD37" s="27">
        <f>H37/(100-BE37)*100</f>
        <v>0</v>
      </c>
      <c r="BE37" s="27">
        <v>0</v>
      </c>
      <c r="BF37" s="27">
        <f>M37</f>
        <v>1.7152189999999998</v>
      </c>
      <c r="BH37" s="27">
        <f>G37*AO37</f>
        <v>0</v>
      </c>
      <c r="BI37" s="27">
        <f>G37*AP37</f>
        <v>0</v>
      </c>
      <c r="BJ37" s="27">
        <f>G37*H37</f>
        <v>0</v>
      </c>
      <c r="BK37" s="29" t="s">
        <v>65</v>
      </c>
      <c r="BL37" s="27">
        <v>59</v>
      </c>
      <c r="BW37" s="27">
        <v>21</v>
      </c>
      <c r="BX37" s="4" t="s">
        <v>133</v>
      </c>
    </row>
    <row r="38" spans="1:76">
      <c r="A38" s="2" t="s">
        <v>135</v>
      </c>
      <c r="B38" s="3" t="s">
        <v>55</v>
      </c>
      <c r="C38" s="3" t="s">
        <v>136</v>
      </c>
      <c r="D38" s="63" t="s">
        <v>137</v>
      </c>
      <c r="E38" s="64"/>
      <c r="F38" s="3" t="s">
        <v>138</v>
      </c>
      <c r="G38" s="27">
        <v>19.88</v>
      </c>
      <c r="H38" s="27">
        <v>0</v>
      </c>
      <c r="I38" s="27">
        <f>ROUND(G38*AO38,2)</f>
        <v>0</v>
      </c>
      <c r="J38" s="27">
        <f>ROUND(G38*AP38,2)</f>
        <v>0</v>
      </c>
      <c r="K38" s="27">
        <f>ROUND(G38*H38,2)</f>
        <v>0</v>
      </c>
      <c r="L38" s="27">
        <v>3.3E-4</v>
      </c>
      <c r="M38" s="27">
        <f>G38*L38</f>
        <v>6.5603999999999992E-3</v>
      </c>
      <c r="N38" s="28" t="s">
        <v>62</v>
      </c>
      <c r="Z38" s="27">
        <f>ROUND(IF(AQ38="5",BJ38,0),2)</f>
        <v>0</v>
      </c>
      <c r="AB38" s="27">
        <f>ROUND(IF(AQ38="1",BH38,0),2)</f>
        <v>0</v>
      </c>
      <c r="AC38" s="27">
        <f>ROUND(IF(AQ38="1",BI38,0),2)</f>
        <v>0</v>
      </c>
      <c r="AD38" s="27">
        <f>ROUND(IF(AQ38="7",BH38,0),2)</f>
        <v>0</v>
      </c>
      <c r="AE38" s="27">
        <f>ROUND(IF(AQ38="7",BI38,0),2)</f>
        <v>0</v>
      </c>
      <c r="AF38" s="27">
        <f>ROUND(IF(AQ38="2",BH38,0),2)</f>
        <v>0</v>
      </c>
      <c r="AG38" s="27">
        <f>ROUND(IF(AQ38="2",BI38,0),2)</f>
        <v>0</v>
      </c>
      <c r="AH38" s="27">
        <f>ROUND(IF(AQ38="0",BJ38,0),2)</f>
        <v>0</v>
      </c>
      <c r="AI38" s="10" t="s">
        <v>55</v>
      </c>
      <c r="AJ38" s="27">
        <f>IF(AN38=0,K38,0)</f>
        <v>0</v>
      </c>
      <c r="AK38" s="27">
        <f>IF(AN38=15,K38,0)</f>
        <v>0</v>
      </c>
      <c r="AL38" s="27">
        <f>IF(AN38=21,K38,0)</f>
        <v>0</v>
      </c>
      <c r="AN38" s="27">
        <v>21</v>
      </c>
      <c r="AO38" s="27">
        <f>H38*0.038563183</f>
        <v>0</v>
      </c>
      <c r="AP38" s="27">
        <f>H38*(1-0.038563183)</f>
        <v>0</v>
      </c>
      <c r="AQ38" s="29" t="s">
        <v>58</v>
      </c>
      <c r="AV38" s="27">
        <f>ROUND(AW38+AX38,2)</f>
        <v>0</v>
      </c>
      <c r="AW38" s="27">
        <f>ROUND(G38*AO38,2)</f>
        <v>0</v>
      </c>
      <c r="AX38" s="27">
        <f>ROUND(G38*AP38,2)</f>
        <v>0</v>
      </c>
      <c r="AY38" s="29" t="s">
        <v>134</v>
      </c>
      <c r="AZ38" s="29" t="s">
        <v>134</v>
      </c>
      <c r="BA38" s="10" t="s">
        <v>64</v>
      </c>
      <c r="BC38" s="27">
        <f>AW38+AX38</f>
        <v>0</v>
      </c>
      <c r="BD38" s="27">
        <f>H38/(100-BE38)*100</f>
        <v>0</v>
      </c>
      <c r="BE38" s="27">
        <v>0</v>
      </c>
      <c r="BF38" s="27">
        <f>M38</f>
        <v>6.5603999999999992E-3</v>
      </c>
      <c r="BH38" s="27">
        <f>G38*AO38</f>
        <v>0</v>
      </c>
      <c r="BI38" s="27">
        <f>G38*AP38</f>
        <v>0</v>
      </c>
      <c r="BJ38" s="27">
        <f>G38*H38</f>
        <v>0</v>
      </c>
      <c r="BK38" s="29" t="s">
        <v>65</v>
      </c>
      <c r="BL38" s="27">
        <v>59</v>
      </c>
      <c r="BW38" s="27">
        <v>21</v>
      </c>
      <c r="BX38" s="4" t="s">
        <v>137</v>
      </c>
    </row>
    <row r="39" spans="1:76">
      <c r="A39" s="30" t="s">
        <v>55</v>
      </c>
      <c r="B39" s="31" t="s">
        <v>55</v>
      </c>
      <c r="C39" s="31" t="s">
        <v>139</v>
      </c>
      <c r="D39" s="65" t="s">
        <v>140</v>
      </c>
      <c r="E39" s="66"/>
      <c r="F39" s="32" t="s">
        <v>35</v>
      </c>
      <c r="G39" s="32" t="s">
        <v>35</v>
      </c>
      <c r="H39" s="32" t="s">
        <v>35</v>
      </c>
      <c r="I39" s="1">
        <f>ROUND(SUM(I40:I45),2)</f>
        <v>0</v>
      </c>
      <c r="J39" s="1">
        <f>ROUND(SUM(J40:J45),2)</f>
        <v>0</v>
      </c>
      <c r="K39" s="1">
        <f>ROUND(SUM(K40:K45),2)</f>
        <v>0</v>
      </c>
      <c r="L39" s="10" t="s">
        <v>55</v>
      </c>
      <c r="M39" s="1">
        <f>SUM(M40:M45)</f>
        <v>4.8899822000000004</v>
      </c>
      <c r="N39" s="33" t="s">
        <v>55</v>
      </c>
      <c r="AI39" s="10" t="s">
        <v>55</v>
      </c>
      <c r="AS39" s="1">
        <f>SUM(AJ40:AJ45)</f>
        <v>0</v>
      </c>
      <c r="AT39" s="1">
        <f>SUM(AK40:AK45)</f>
        <v>0</v>
      </c>
      <c r="AU39" s="1">
        <f>SUM(AL40:AL45)</f>
        <v>0</v>
      </c>
    </row>
    <row r="40" spans="1:76">
      <c r="A40" s="2" t="s">
        <v>141</v>
      </c>
      <c r="B40" s="3" t="s">
        <v>55</v>
      </c>
      <c r="C40" s="3" t="s">
        <v>142</v>
      </c>
      <c r="D40" s="63" t="s">
        <v>143</v>
      </c>
      <c r="E40" s="64"/>
      <c r="F40" s="3" t="s">
        <v>61</v>
      </c>
      <c r="G40" s="27">
        <v>1.58</v>
      </c>
      <c r="H40" s="27">
        <v>0</v>
      </c>
      <c r="I40" s="27">
        <f t="shared" ref="I40:I45" si="0">ROUND(G40*AO40,2)</f>
        <v>0</v>
      </c>
      <c r="J40" s="27">
        <f t="shared" ref="J40:J45" si="1">ROUND(G40*AP40,2)</f>
        <v>0</v>
      </c>
      <c r="K40" s="27">
        <f t="shared" ref="K40:K45" si="2">ROUND(G40*H40,2)</f>
        <v>0</v>
      </c>
      <c r="L40" s="27">
        <v>2.5249999999999999</v>
      </c>
      <c r="M40" s="27">
        <f t="shared" ref="M40:M45" si="3">G40*L40</f>
        <v>3.9895</v>
      </c>
      <c r="N40" s="28" t="s">
        <v>62</v>
      </c>
      <c r="Z40" s="27">
        <f t="shared" ref="Z40:Z45" si="4">ROUND(IF(AQ40="5",BJ40,0),2)</f>
        <v>0</v>
      </c>
      <c r="AB40" s="27">
        <f t="shared" ref="AB40:AB45" si="5">ROUND(IF(AQ40="1",BH40,0),2)</f>
        <v>0</v>
      </c>
      <c r="AC40" s="27">
        <f t="shared" ref="AC40:AC45" si="6">ROUND(IF(AQ40="1",BI40,0),2)</f>
        <v>0</v>
      </c>
      <c r="AD40" s="27">
        <f t="shared" ref="AD40:AD45" si="7">ROUND(IF(AQ40="7",BH40,0),2)</f>
        <v>0</v>
      </c>
      <c r="AE40" s="27">
        <f t="shared" ref="AE40:AE45" si="8">ROUND(IF(AQ40="7",BI40,0),2)</f>
        <v>0</v>
      </c>
      <c r="AF40" s="27">
        <f t="shared" ref="AF40:AF45" si="9">ROUND(IF(AQ40="2",BH40,0),2)</f>
        <v>0</v>
      </c>
      <c r="AG40" s="27">
        <f t="shared" ref="AG40:AG45" si="10">ROUND(IF(AQ40="2",BI40,0),2)</f>
        <v>0</v>
      </c>
      <c r="AH40" s="27">
        <f t="shared" ref="AH40:AH45" si="11">ROUND(IF(AQ40="0",BJ40,0),2)</f>
        <v>0</v>
      </c>
      <c r="AI40" s="10" t="s">
        <v>55</v>
      </c>
      <c r="AJ40" s="27">
        <f t="shared" ref="AJ40:AJ45" si="12">IF(AN40=0,K40,0)</f>
        <v>0</v>
      </c>
      <c r="AK40" s="27">
        <f t="shared" ref="AK40:AK45" si="13">IF(AN40=15,K40,0)</f>
        <v>0</v>
      </c>
      <c r="AL40" s="27">
        <f t="shared" ref="AL40:AL45" si="14">IF(AN40=21,K40,0)</f>
        <v>0</v>
      </c>
      <c r="AN40" s="27">
        <v>21</v>
      </c>
      <c r="AO40" s="27">
        <f>H40*0.730795856</f>
        <v>0</v>
      </c>
      <c r="AP40" s="27">
        <f>H40*(1-0.730795856)</f>
        <v>0</v>
      </c>
      <c r="AQ40" s="29" t="s">
        <v>58</v>
      </c>
      <c r="AV40" s="27">
        <f t="shared" ref="AV40:AV45" si="15">ROUND(AW40+AX40,2)</f>
        <v>0</v>
      </c>
      <c r="AW40" s="27">
        <f t="shared" ref="AW40:AW45" si="16">ROUND(G40*AO40,2)</f>
        <v>0</v>
      </c>
      <c r="AX40" s="27">
        <f t="shared" ref="AX40:AX45" si="17">ROUND(G40*AP40,2)</f>
        <v>0</v>
      </c>
      <c r="AY40" s="29" t="s">
        <v>144</v>
      </c>
      <c r="AZ40" s="29" t="s">
        <v>144</v>
      </c>
      <c r="BA40" s="10" t="s">
        <v>64</v>
      </c>
      <c r="BC40" s="27">
        <f t="shared" ref="BC40:BC45" si="18">AW40+AX40</f>
        <v>0</v>
      </c>
      <c r="BD40" s="27">
        <f t="shared" ref="BD40:BD45" si="19">H40/(100-BE40)*100</f>
        <v>0</v>
      </c>
      <c r="BE40" s="27">
        <v>0</v>
      </c>
      <c r="BF40" s="27">
        <f t="shared" ref="BF40:BF45" si="20">M40</f>
        <v>3.9895</v>
      </c>
      <c r="BH40" s="27">
        <f t="shared" ref="BH40:BH45" si="21">G40*AO40</f>
        <v>0</v>
      </c>
      <c r="BI40" s="27">
        <f t="shared" ref="BI40:BI45" si="22">G40*AP40</f>
        <v>0</v>
      </c>
      <c r="BJ40" s="27">
        <f t="shared" ref="BJ40:BJ45" si="23">G40*H40</f>
        <v>0</v>
      </c>
      <c r="BK40" s="29" t="s">
        <v>65</v>
      </c>
      <c r="BL40" s="27">
        <v>63</v>
      </c>
      <c r="BW40" s="27">
        <v>21</v>
      </c>
      <c r="BX40" s="4" t="s">
        <v>143</v>
      </c>
    </row>
    <row r="41" spans="1:76">
      <c r="A41" s="2" t="s">
        <v>145</v>
      </c>
      <c r="B41" s="3" t="s">
        <v>55</v>
      </c>
      <c r="C41" s="3" t="s">
        <v>146</v>
      </c>
      <c r="D41" s="63" t="s">
        <v>147</v>
      </c>
      <c r="E41" s="64"/>
      <c r="F41" s="3" t="s">
        <v>61</v>
      </c>
      <c r="G41" s="27">
        <v>1.58</v>
      </c>
      <c r="H41" s="27">
        <v>0</v>
      </c>
      <c r="I41" s="27">
        <f t="shared" si="0"/>
        <v>0</v>
      </c>
      <c r="J41" s="27">
        <f t="shared" si="1"/>
        <v>0</v>
      </c>
      <c r="K41" s="27">
        <f t="shared" si="2"/>
        <v>0</v>
      </c>
      <c r="L41" s="27">
        <v>0</v>
      </c>
      <c r="M41" s="27">
        <f t="shared" si="3"/>
        <v>0</v>
      </c>
      <c r="N41" s="28" t="s">
        <v>62</v>
      </c>
      <c r="Z41" s="27">
        <f t="shared" si="4"/>
        <v>0</v>
      </c>
      <c r="AB41" s="27">
        <f t="shared" si="5"/>
        <v>0</v>
      </c>
      <c r="AC41" s="27">
        <f t="shared" si="6"/>
        <v>0</v>
      </c>
      <c r="AD41" s="27">
        <f t="shared" si="7"/>
        <v>0</v>
      </c>
      <c r="AE41" s="27">
        <f t="shared" si="8"/>
        <v>0</v>
      </c>
      <c r="AF41" s="27">
        <f t="shared" si="9"/>
        <v>0</v>
      </c>
      <c r="AG41" s="27">
        <f t="shared" si="10"/>
        <v>0</v>
      </c>
      <c r="AH41" s="27">
        <f t="shared" si="11"/>
        <v>0</v>
      </c>
      <c r="AI41" s="10" t="s">
        <v>55</v>
      </c>
      <c r="AJ41" s="27">
        <f t="shared" si="12"/>
        <v>0</v>
      </c>
      <c r="AK41" s="27">
        <f t="shared" si="13"/>
        <v>0</v>
      </c>
      <c r="AL41" s="27">
        <f t="shared" si="14"/>
        <v>0</v>
      </c>
      <c r="AN41" s="27">
        <v>21</v>
      </c>
      <c r="AO41" s="27">
        <f>H41*0</f>
        <v>0</v>
      </c>
      <c r="AP41" s="27">
        <f>H41*(1-0)</f>
        <v>0</v>
      </c>
      <c r="AQ41" s="29" t="s">
        <v>58</v>
      </c>
      <c r="AV41" s="27">
        <f t="shared" si="15"/>
        <v>0</v>
      </c>
      <c r="AW41" s="27">
        <f t="shared" si="16"/>
        <v>0</v>
      </c>
      <c r="AX41" s="27">
        <f t="shared" si="17"/>
        <v>0</v>
      </c>
      <c r="AY41" s="29" t="s">
        <v>144</v>
      </c>
      <c r="AZ41" s="29" t="s">
        <v>144</v>
      </c>
      <c r="BA41" s="10" t="s">
        <v>64</v>
      </c>
      <c r="BC41" s="27">
        <f t="shared" si="18"/>
        <v>0</v>
      </c>
      <c r="BD41" s="27">
        <f t="shared" si="19"/>
        <v>0</v>
      </c>
      <c r="BE41" s="27">
        <v>0</v>
      </c>
      <c r="BF41" s="27">
        <f t="shared" si="20"/>
        <v>0</v>
      </c>
      <c r="BH41" s="27">
        <f t="shared" si="21"/>
        <v>0</v>
      </c>
      <c r="BI41" s="27">
        <f t="shared" si="22"/>
        <v>0</v>
      </c>
      <c r="BJ41" s="27">
        <f t="shared" si="23"/>
        <v>0</v>
      </c>
      <c r="BK41" s="29" t="s">
        <v>65</v>
      </c>
      <c r="BL41" s="27">
        <v>63</v>
      </c>
      <c r="BW41" s="27">
        <v>21</v>
      </c>
      <c r="BX41" s="4" t="s">
        <v>147</v>
      </c>
    </row>
    <row r="42" spans="1:76">
      <c r="A42" s="2" t="s">
        <v>148</v>
      </c>
      <c r="B42" s="3" t="s">
        <v>55</v>
      </c>
      <c r="C42" s="3" t="s">
        <v>149</v>
      </c>
      <c r="D42" s="63" t="s">
        <v>150</v>
      </c>
      <c r="E42" s="64"/>
      <c r="F42" s="3" t="s">
        <v>117</v>
      </c>
      <c r="G42" s="27">
        <v>9.5000000000000001E-2</v>
      </c>
      <c r="H42" s="27">
        <v>0</v>
      </c>
      <c r="I42" s="27">
        <f t="shared" si="0"/>
        <v>0</v>
      </c>
      <c r="J42" s="27">
        <f t="shared" si="1"/>
        <v>0</v>
      </c>
      <c r="K42" s="27">
        <f t="shared" si="2"/>
        <v>0</v>
      </c>
      <c r="L42" s="27">
        <v>1.0800399999999999</v>
      </c>
      <c r="M42" s="27">
        <f t="shared" si="3"/>
        <v>0.1026038</v>
      </c>
      <c r="N42" s="28" t="s">
        <v>62</v>
      </c>
      <c r="Z42" s="27">
        <f t="shared" si="4"/>
        <v>0</v>
      </c>
      <c r="AB42" s="27">
        <f t="shared" si="5"/>
        <v>0</v>
      </c>
      <c r="AC42" s="27">
        <f t="shared" si="6"/>
        <v>0</v>
      </c>
      <c r="AD42" s="27">
        <f t="shared" si="7"/>
        <v>0</v>
      </c>
      <c r="AE42" s="27">
        <f t="shared" si="8"/>
        <v>0</v>
      </c>
      <c r="AF42" s="27">
        <f t="shared" si="9"/>
        <v>0</v>
      </c>
      <c r="AG42" s="27">
        <f t="shared" si="10"/>
        <v>0</v>
      </c>
      <c r="AH42" s="27">
        <f t="shared" si="11"/>
        <v>0</v>
      </c>
      <c r="AI42" s="10" t="s">
        <v>55</v>
      </c>
      <c r="AJ42" s="27">
        <f t="shared" si="12"/>
        <v>0</v>
      </c>
      <c r="AK42" s="27">
        <f t="shared" si="13"/>
        <v>0</v>
      </c>
      <c r="AL42" s="27">
        <f t="shared" si="14"/>
        <v>0</v>
      </c>
      <c r="AN42" s="27">
        <v>21</v>
      </c>
      <c r="AO42" s="27">
        <f>H42*0.757889844</f>
        <v>0</v>
      </c>
      <c r="AP42" s="27">
        <f>H42*(1-0.757889844)</f>
        <v>0</v>
      </c>
      <c r="AQ42" s="29" t="s">
        <v>58</v>
      </c>
      <c r="AV42" s="27">
        <f t="shared" si="15"/>
        <v>0</v>
      </c>
      <c r="AW42" s="27">
        <f t="shared" si="16"/>
        <v>0</v>
      </c>
      <c r="AX42" s="27">
        <f t="shared" si="17"/>
        <v>0</v>
      </c>
      <c r="AY42" s="29" t="s">
        <v>144</v>
      </c>
      <c r="AZ42" s="29" t="s">
        <v>144</v>
      </c>
      <c r="BA42" s="10" t="s">
        <v>64</v>
      </c>
      <c r="BC42" s="27">
        <f t="shared" si="18"/>
        <v>0</v>
      </c>
      <c r="BD42" s="27">
        <f t="shared" si="19"/>
        <v>0</v>
      </c>
      <c r="BE42" s="27">
        <v>0</v>
      </c>
      <c r="BF42" s="27">
        <f t="shared" si="20"/>
        <v>0.1026038</v>
      </c>
      <c r="BH42" s="27">
        <f t="shared" si="21"/>
        <v>0</v>
      </c>
      <c r="BI42" s="27">
        <f t="shared" si="22"/>
        <v>0</v>
      </c>
      <c r="BJ42" s="27">
        <f t="shared" si="23"/>
        <v>0</v>
      </c>
      <c r="BK42" s="29" t="s">
        <v>65</v>
      </c>
      <c r="BL42" s="27">
        <v>63</v>
      </c>
      <c r="BW42" s="27">
        <v>21</v>
      </c>
      <c r="BX42" s="4" t="s">
        <v>150</v>
      </c>
    </row>
    <row r="43" spans="1:76" ht="25.5">
      <c r="A43" s="2" t="s">
        <v>151</v>
      </c>
      <c r="B43" s="3" t="s">
        <v>55</v>
      </c>
      <c r="C43" s="3" t="s">
        <v>152</v>
      </c>
      <c r="D43" s="63" t="s">
        <v>153</v>
      </c>
      <c r="E43" s="64"/>
      <c r="F43" s="3" t="s">
        <v>61</v>
      </c>
      <c r="G43" s="27">
        <v>0.4</v>
      </c>
      <c r="H43" s="27">
        <v>0</v>
      </c>
      <c r="I43" s="27">
        <f t="shared" si="0"/>
        <v>0</v>
      </c>
      <c r="J43" s="27">
        <f t="shared" si="1"/>
        <v>0</v>
      </c>
      <c r="K43" s="27">
        <f t="shared" si="2"/>
        <v>0</v>
      </c>
      <c r="L43" s="27">
        <v>1.837</v>
      </c>
      <c r="M43" s="27">
        <f t="shared" si="3"/>
        <v>0.73480000000000001</v>
      </c>
      <c r="N43" s="28" t="s">
        <v>62</v>
      </c>
      <c r="Z43" s="27">
        <f t="shared" si="4"/>
        <v>0</v>
      </c>
      <c r="AB43" s="27">
        <f t="shared" si="5"/>
        <v>0</v>
      </c>
      <c r="AC43" s="27">
        <f t="shared" si="6"/>
        <v>0</v>
      </c>
      <c r="AD43" s="27">
        <f t="shared" si="7"/>
        <v>0</v>
      </c>
      <c r="AE43" s="27">
        <f t="shared" si="8"/>
        <v>0</v>
      </c>
      <c r="AF43" s="27">
        <f t="shared" si="9"/>
        <v>0</v>
      </c>
      <c r="AG43" s="27">
        <f t="shared" si="10"/>
        <v>0</v>
      </c>
      <c r="AH43" s="27">
        <f t="shared" si="11"/>
        <v>0</v>
      </c>
      <c r="AI43" s="10" t="s">
        <v>55</v>
      </c>
      <c r="AJ43" s="27">
        <f t="shared" si="12"/>
        <v>0</v>
      </c>
      <c r="AK43" s="27">
        <f t="shared" si="13"/>
        <v>0</v>
      </c>
      <c r="AL43" s="27">
        <f t="shared" si="14"/>
        <v>0</v>
      </c>
      <c r="AN43" s="27">
        <v>21</v>
      </c>
      <c r="AO43" s="27">
        <f>H43*0.405120313</f>
        <v>0</v>
      </c>
      <c r="AP43" s="27">
        <f>H43*(1-0.405120313)</f>
        <v>0</v>
      </c>
      <c r="AQ43" s="29" t="s">
        <v>58</v>
      </c>
      <c r="AV43" s="27">
        <f t="shared" si="15"/>
        <v>0</v>
      </c>
      <c r="AW43" s="27">
        <f t="shared" si="16"/>
        <v>0</v>
      </c>
      <c r="AX43" s="27">
        <f t="shared" si="17"/>
        <v>0</v>
      </c>
      <c r="AY43" s="29" t="s">
        <v>144</v>
      </c>
      <c r="AZ43" s="29" t="s">
        <v>144</v>
      </c>
      <c r="BA43" s="10" t="s">
        <v>64</v>
      </c>
      <c r="BC43" s="27">
        <f t="shared" si="18"/>
        <v>0</v>
      </c>
      <c r="BD43" s="27">
        <f t="shared" si="19"/>
        <v>0</v>
      </c>
      <c r="BE43" s="27">
        <v>0</v>
      </c>
      <c r="BF43" s="27">
        <f t="shared" si="20"/>
        <v>0.73480000000000001</v>
      </c>
      <c r="BH43" s="27">
        <f t="shared" si="21"/>
        <v>0</v>
      </c>
      <c r="BI43" s="27">
        <f t="shared" si="22"/>
        <v>0</v>
      </c>
      <c r="BJ43" s="27">
        <f t="shared" si="23"/>
        <v>0</v>
      </c>
      <c r="BK43" s="29" t="s">
        <v>65</v>
      </c>
      <c r="BL43" s="27">
        <v>63</v>
      </c>
      <c r="BW43" s="27">
        <v>21</v>
      </c>
      <c r="BX43" s="4" t="s">
        <v>153</v>
      </c>
    </row>
    <row r="44" spans="1:76">
      <c r="A44" s="2" t="s">
        <v>154</v>
      </c>
      <c r="B44" s="3" t="s">
        <v>55</v>
      </c>
      <c r="C44" s="3" t="s">
        <v>155</v>
      </c>
      <c r="D44" s="63" t="s">
        <v>156</v>
      </c>
      <c r="E44" s="64"/>
      <c r="F44" s="3" t="s">
        <v>93</v>
      </c>
      <c r="G44" s="27">
        <v>4.4800000000000004</v>
      </c>
      <c r="H44" s="27">
        <v>0</v>
      </c>
      <c r="I44" s="27">
        <f t="shared" si="0"/>
        <v>0</v>
      </c>
      <c r="J44" s="27">
        <f t="shared" si="1"/>
        <v>0</v>
      </c>
      <c r="K44" s="27">
        <f t="shared" si="2"/>
        <v>0</v>
      </c>
      <c r="L44" s="27">
        <v>1.4080000000000001E-2</v>
      </c>
      <c r="M44" s="27">
        <f t="shared" si="3"/>
        <v>6.3078400000000007E-2</v>
      </c>
      <c r="N44" s="28" t="s">
        <v>62</v>
      </c>
      <c r="Z44" s="27">
        <f t="shared" si="4"/>
        <v>0</v>
      </c>
      <c r="AB44" s="27">
        <f t="shared" si="5"/>
        <v>0</v>
      </c>
      <c r="AC44" s="27">
        <f t="shared" si="6"/>
        <v>0</v>
      </c>
      <c r="AD44" s="27">
        <f t="shared" si="7"/>
        <v>0</v>
      </c>
      <c r="AE44" s="27">
        <f t="shared" si="8"/>
        <v>0</v>
      </c>
      <c r="AF44" s="27">
        <f t="shared" si="9"/>
        <v>0</v>
      </c>
      <c r="AG44" s="27">
        <f t="shared" si="10"/>
        <v>0</v>
      </c>
      <c r="AH44" s="27">
        <f t="shared" si="11"/>
        <v>0</v>
      </c>
      <c r="AI44" s="10" t="s">
        <v>55</v>
      </c>
      <c r="AJ44" s="27">
        <f t="shared" si="12"/>
        <v>0</v>
      </c>
      <c r="AK44" s="27">
        <f t="shared" si="13"/>
        <v>0</v>
      </c>
      <c r="AL44" s="27">
        <f t="shared" si="14"/>
        <v>0</v>
      </c>
      <c r="AN44" s="27">
        <v>21</v>
      </c>
      <c r="AO44" s="27">
        <f>H44*0.459803783</f>
        <v>0</v>
      </c>
      <c r="AP44" s="27">
        <f>H44*(1-0.459803783)</f>
        <v>0</v>
      </c>
      <c r="AQ44" s="29" t="s">
        <v>58</v>
      </c>
      <c r="AV44" s="27">
        <f t="shared" si="15"/>
        <v>0</v>
      </c>
      <c r="AW44" s="27">
        <f t="shared" si="16"/>
        <v>0</v>
      </c>
      <c r="AX44" s="27">
        <f t="shared" si="17"/>
        <v>0</v>
      </c>
      <c r="AY44" s="29" t="s">
        <v>144</v>
      </c>
      <c r="AZ44" s="29" t="s">
        <v>144</v>
      </c>
      <c r="BA44" s="10" t="s">
        <v>64</v>
      </c>
      <c r="BC44" s="27">
        <f t="shared" si="18"/>
        <v>0</v>
      </c>
      <c r="BD44" s="27">
        <f t="shared" si="19"/>
        <v>0</v>
      </c>
      <c r="BE44" s="27">
        <v>0</v>
      </c>
      <c r="BF44" s="27">
        <f t="shared" si="20"/>
        <v>6.3078400000000007E-2</v>
      </c>
      <c r="BH44" s="27">
        <f t="shared" si="21"/>
        <v>0</v>
      </c>
      <c r="BI44" s="27">
        <f t="shared" si="22"/>
        <v>0</v>
      </c>
      <c r="BJ44" s="27">
        <f t="shared" si="23"/>
        <v>0</v>
      </c>
      <c r="BK44" s="29" t="s">
        <v>65</v>
      </c>
      <c r="BL44" s="27">
        <v>63</v>
      </c>
      <c r="BW44" s="27">
        <v>21</v>
      </c>
      <c r="BX44" s="4" t="s">
        <v>156</v>
      </c>
    </row>
    <row r="45" spans="1:76">
      <c r="A45" s="2" t="s">
        <v>157</v>
      </c>
      <c r="B45" s="3" t="s">
        <v>55</v>
      </c>
      <c r="C45" s="3" t="s">
        <v>158</v>
      </c>
      <c r="D45" s="63" t="s">
        <v>159</v>
      </c>
      <c r="E45" s="64"/>
      <c r="F45" s="3" t="s">
        <v>93</v>
      </c>
      <c r="G45" s="27">
        <v>4.4800000000000004</v>
      </c>
      <c r="H45" s="27">
        <v>0</v>
      </c>
      <c r="I45" s="27">
        <f t="shared" si="0"/>
        <v>0</v>
      </c>
      <c r="J45" s="27">
        <f t="shared" si="1"/>
        <v>0</v>
      </c>
      <c r="K45" s="27">
        <f t="shared" si="2"/>
        <v>0</v>
      </c>
      <c r="L45" s="27">
        <v>0</v>
      </c>
      <c r="M45" s="27">
        <f t="shared" si="3"/>
        <v>0</v>
      </c>
      <c r="N45" s="28" t="s">
        <v>62</v>
      </c>
      <c r="Z45" s="27">
        <f t="shared" si="4"/>
        <v>0</v>
      </c>
      <c r="AB45" s="27">
        <f t="shared" si="5"/>
        <v>0</v>
      </c>
      <c r="AC45" s="27">
        <f t="shared" si="6"/>
        <v>0</v>
      </c>
      <c r="AD45" s="27">
        <f t="shared" si="7"/>
        <v>0</v>
      </c>
      <c r="AE45" s="27">
        <f t="shared" si="8"/>
        <v>0</v>
      </c>
      <c r="AF45" s="27">
        <f t="shared" si="9"/>
        <v>0</v>
      </c>
      <c r="AG45" s="27">
        <f t="shared" si="10"/>
        <v>0</v>
      </c>
      <c r="AH45" s="27">
        <f t="shared" si="11"/>
        <v>0</v>
      </c>
      <c r="AI45" s="10" t="s">
        <v>55</v>
      </c>
      <c r="AJ45" s="27">
        <f t="shared" si="12"/>
        <v>0</v>
      </c>
      <c r="AK45" s="27">
        <f t="shared" si="13"/>
        <v>0</v>
      </c>
      <c r="AL45" s="27">
        <f t="shared" si="14"/>
        <v>0</v>
      </c>
      <c r="AN45" s="27">
        <v>21</v>
      </c>
      <c r="AO45" s="27">
        <f>H45*0</f>
        <v>0</v>
      </c>
      <c r="AP45" s="27">
        <f>H45*(1-0)</f>
        <v>0</v>
      </c>
      <c r="AQ45" s="29" t="s">
        <v>58</v>
      </c>
      <c r="AV45" s="27">
        <f t="shared" si="15"/>
        <v>0</v>
      </c>
      <c r="AW45" s="27">
        <f t="shared" si="16"/>
        <v>0</v>
      </c>
      <c r="AX45" s="27">
        <f t="shared" si="17"/>
        <v>0</v>
      </c>
      <c r="AY45" s="29" t="s">
        <v>144</v>
      </c>
      <c r="AZ45" s="29" t="s">
        <v>144</v>
      </c>
      <c r="BA45" s="10" t="s">
        <v>64</v>
      </c>
      <c r="BC45" s="27">
        <f t="shared" si="18"/>
        <v>0</v>
      </c>
      <c r="BD45" s="27">
        <f t="shared" si="19"/>
        <v>0</v>
      </c>
      <c r="BE45" s="27">
        <v>0</v>
      </c>
      <c r="BF45" s="27">
        <f t="shared" si="20"/>
        <v>0</v>
      </c>
      <c r="BH45" s="27">
        <f t="shared" si="21"/>
        <v>0</v>
      </c>
      <c r="BI45" s="27">
        <f t="shared" si="22"/>
        <v>0</v>
      </c>
      <c r="BJ45" s="27">
        <f t="shared" si="23"/>
        <v>0</v>
      </c>
      <c r="BK45" s="29" t="s">
        <v>65</v>
      </c>
      <c r="BL45" s="27">
        <v>63</v>
      </c>
      <c r="BW45" s="27">
        <v>21</v>
      </c>
      <c r="BX45" s="4" t="s">
        <v>159</v>
      </c>
    </row>
    <row r="46" spans="1:76">
      <c r="A46" s="30" t="s">
        <v>55</v>
      </c>
      <c r="B46" s="31" t="s">
        <v>55</v>
      </c>
      <c r="C46" s="31" t="s">
        <v>160</v>
      </c>
      <c r="D46" s="65" t="s">
        <v>161</v>
      </c>
      <c r="E46" s="66"/>
      <c r="F46" s="32" t="s">
        <v>35</v>
      </c>
      <c r="G46" s="32" t="s">
        <v>35</v>
      </c>
      <c r="H46" s="32" t="s">
        <v>35</v>
      </c>
      <c r="I46" s="1">
        <f>ROUND(SUM(I47:I47),2)</f>
        <v>0</v>
      </c>
      <c r="J46" s="1">
        <f>ROUND(SUM(J47:J47),2)</f>
        <v>0</v>
      </c>
      <c r="K46" s="1">
        <f>ROUND(SUM(K47:K47),2)</f>
        <v>0</v>
      </c>
      <c r="L46" s="10" t="s">
        <v>55</v>
      </c>
      <c r="M46" s="1">
        <f>SUM(M47:M47)</f>
        <v>0</v>
      </c>
      <c r="N46" s="33" t="s">
        <v>55</v>
      </c>
      <c r="AI46" s="10" t="s">
        <v>55</v>
      </c>
      <c r="AS46" s="1">
        <f>SUM(AJ47:AJ47)</f>
        <v>0</v>
      </c>
      <c r="AT46" s="1">
        <f>SUM(AK47:AK47)</f>
        <v>0</v>
      </c>
      <c r="AU46" s="1">
        <f>SUM(AL47:AL47)</f>
        <v>0</v>
      </c>
    </row>
    <row r="47" spans="1:76">
      <c r="A47" s="2" t="s">
        <v>162</v>
      </c>
      <c r="B47" s="3" t="s">
        <v>55</v>
      </c>
      <c r="C47" s="3" t="s">
        <v>163</v>
      </c>
      <c r="D47" s="63" t="s">
        <v>164</v>
      </c>
      <c r="E47" s="64"/>
      <c r="F47" s="3" t="s">
        <v>138</v>
      </c>
      <c r="G47" s="27">
        <v>11.8</v>
      </c>
      <c r="H47" s="27">
        <v>0</v>
      </c>
      <c r="I47" s="27">
        <f>ROUND(G47*AO47,2)</f>
        <v>0</v>
      </c>
      <c r="J47" s="27">
        <f>ROUND(G47*AP47,2)</f>
        <v>0</v>
      </c>
      <c r="K47" s="27">
        <f>ROUND(G47*H47,2)</f>
        <v>0</v>
      </c>
      <c r="L47" s="27">
        <v>0</v>
      </c>
      <c r="M47" s="27">
        <f>G47*L47</f>
        <v>0</v>
      </c>
      <c r="N47" s="28" t="s">
        <v>62</v>
      </c>
      <c r="Z47" s="27">
        <f>ROUND(IF(AQ47="5",BJ47,0),2)</f>
        <v>0</v>
      </c>
      <c r="AB47" s="27">
        <f>ROUND(IF(AQ47="1",BH47,0),2)</f>
        <v>0</v>
      </c>
      <c r="AC47" s="27">
        <f>ROUND(IF(AQ47="1",BI47,0),2)</f>
        <v>0</v>
      </c>
      <c r="AD47" s="27">
        <f>ROUND(IF(AQ47="7",BH47,0),2)</f>
        <v>0</v>
      </c>
      <c r="AE47" s="27">
        <f>ROUND(IF(AQ47="7",BI47,0),2)</f>
        <v>0</v>
      </c>
      <c r="AF47" s="27">
        <f>ROUND(IF(AQ47="2",BH47,0),2)</f>
        <v>0</v>
      </c>
      <c r="AG47" s="27">
        <f>ROUND(IF(AQ47="2",BI47,0),2)</f>
        <v>0</v>
      </c>
      <c r="AH47" s="27">
        <f>ROUND(IF(AQ47="0",BJ47,0),2)</f>
        <v>0</v>
      </c>
      <c r="AI47" s="10" t="s">
        <v>55</v>
      </c>
      <c r="AJ47" s="27">
        <f>IF(AN47=0,K47,0)</f>
        <v>0</v>
      </c>
      <c r="AK47" s="27">
        <f>IF(AN47=15,K47,0)</f>
        <v>0</v>
      </c>
      <c r="AL47" s="27">
        <f>IF(AN47=21,K47,0)</f>
        <v>0</v>
      </c>
      <c r="AN47" s="27">
        <v>21</v>
      </c>
      <c r="AO47" s="27">
        <f>H47*0</f>
        <v>0</v>
      </c>
      <c r="AP47" s="27">
        <f>H47*(1-0)</f>
        <v>0</v>
      </c>
      <c r="AQ47" s="29" t="s">
        <v>58</v>
      </c>
      <c r="AV47" s="27">
        <f>ROUND(AW47+AX47,2)</f>
        <v>0</v>
      </c>
      <c r="AW47" s="27">
        <f>ROUND(G47*AO47,2)</f>
        <v>0</v>
      </c>
      <c r="AX47" s="27">
        <f>ROUND(G47*AP47,2)</f>
        <v>0</v>
      </c>
      <c r="AY47" s="29" t="s">
        <v>165</v>
      </c>
      <c r="AZ47" s="29" t="s">
        <v>165</v>
      </c>
      <c r="BA47" s="10" t="s">
        <v>64</v>
      </c>
      <c r="BC47" s="27">
        <f>AW47+AX47</f>
        <v>0</v>
      </c>
      <c r="BD47" s="27">
        <f>H47/(100-BE47)*100</f>
        <v>0</v>
      </c>
      <c r="BE47" s="27">
        <v>0</v>
      </c>
      <c r="BF47" s="27">
        <f>M47</f>
        <v>0</v>
      </c>
      <c r="BH47" s="27">
        <f>G47*AO47</f>
        <v>0</v>
      </c>
      <c r="BI47" s="27">
        <f>G47*AP47</f>
        <v>0</v>
      </c>
      <c r="BJ47" s="27">
        <f>G47*H47</f>
        <v>0</v>
      </c>
      <c r="BK47" s="29" t="s">
        <v>65</v>
      </c>
      <c r="BL47" s="27">
        <v>87</v>
      </c>
      <c r="BW47" s="27">
        <v>21</v>
      </c>
      <c r="BX47" s="4" t="s">
        <v>164</v>
      </c>
    </row>
    <row r="48" spans="1:76">
      <c r="A48" s="30" t="s">
        <v>55</v>
      </c>
      <c r="B48" s="31" t="s">
        <v>55</v>
      </c>
      <c r="C48" s="31" t="s">
        <v>166</v>
      </c>
      <c r="D48" s="65" t="s">
        <v>167</v>
      </c>
      <c r="E48" s="66"/>
      <c r="F48" s="32" t="s">
        <v>35</v>
      </c>
      <c r="G48" s="32" t="s">
        <v>35</v>
      </c>
      <c r="H48" s="32" t="s">
        <v>35</v>
      </c>
      <c r="I48" s="1">
        <f>ROUND(SUM(I49:I49),2)</f>
        <v>0</v>
      </c>
      <c r="J48" s="1">
        <f>ROUND(SUM(J49:J49),2)</f>
        <v>0</v>
      </c>
      <c r="K48" s="1">
        <f>ROUND(SUM(K49:K49),2)</f>
        <v>0</v>
      </c>
      <c r="L48" s="10" t="s">
        <v>55</v>
      </c>
      <c r="M48" s="1">
        <f>SUM(M49:M49)</f>
        <v>0.81912800000000008</v>
      </c>
      <c r="N48" s="33" t="s">
        <v>55</v>
      </c>
      <c r="AI48" s="10" t="s">
        <v>55</v>
      </c>
      <c r="AS48" s="1">
        <f>SUM(AJ49:AJ49)</f>
        <v>0</v>
      </c>
      <c r="AT48" s="1">
        <f>SUM(AK49:AK49)</f>
        <v>0</v>
      </c>
      <c r="AU48" s="1">
        <f>SUM(AL49:AL49)</f>
        <v>0</v>
      </c>
    </row>
    <row r="49" spans="1:76">
      <c r="A49" s="2" t="s">
        <v>95</v>
      </c>
      <c r="B49" s="3" t="s">
        <v>55</v>
      </c>
      <c r="C49" s="3" t="s">
        <v>168</v>
      </c>
      <c r="D49" s="63" t="s">
        <v>169</v>
      </c>
      <c r="E49" s="64"/>
      <c r="F49" s="3" t="s">
        <v>170</v>
      </c>
      <c r="G49" s="27">
        <v>0.1</v>
      </c>
      <c r="H49" s="27">
        <v>0</v>
      </c>
      <c r="I49" s="27">
        <f>ROUND(G49*AO49,2)</f>
        <v>0</v>
      </c>
      <c r="J49" s="27">
        <f>ROUND(G49*AP49,2)</f>
        <v>0</v>
      </c>
      <c r="K49" s="27">
        <f>ROUND(G49*H49,2)</f>
        <v>0</v>
      </c>
      <c r="L49" s="27">
        <v>8.1912800000000008</v>
      </c>
      <c r="M49" s="27">
        <f>G49*L49</f>
        <v>0.81912800000000008</v>
      </c>
      <c r="N49" s="28" t="s">
        <v>62</v>
      </c>
      <c r="Z49" s="27">
        <f>ROUND(IF(AQ49="5",BJ49,0),2)</f>
        <v>0</v>
      </c>
      <c r="AB49" s="27">
        <f>ROUND(IF(AQ49="1",BH49,0),2)</f>
        <v>0</v>
      </c>
      <c r="AC49" s="27">
        <f>ROUND(IF(AQ49="1",BI49,0),2)</f>
        <v>0</v>
      </c>
      <c r="AD49" s="27">
        <f>ROUND(IF(AQ49="7",BH49,0),2)</f>
        <v>0</v>
      </c>
      <c r="AE49" s="27">
        <f>ROUND(IF(AQ49="7",BI49,0),2)</f>
        <v>0</v>
      </c>
      <c r="AF49" s="27">
        <f>ROUND(IF(AQ49="2",BH49,0),2)</f>
        <v>0</v>
      </c>
      <c r="AG49" s="27">
        <f>ROUND(IF(AQ49="2",BI49,0),2)</f>
        <v>0</v>
      </c>
      <c r="AH49" s="27">
        <f>ROUND(IF(AQ49="0",BJ49,0),2)</f>
        <v>0</v>
      </c>
      <c r="AI49" s="10" t="s">
        <v>55</v>
      </c>
      <c r="AJ49" s="27">
        <f>IF(AN49=0,K49,0)</f>
        <v>0</v>
      </c>
      <c r="AK49" s="27">
        <f>IF(AN49=15,K49,0)</f>
        <v>0</v>
      </c>
      <c r="AL49" s="27">
        <f>IF(AN49=21,K49,0)</f>
        <v>0</v>
      </c>
      <c r="AN49" s="27">
        <v>21</v>
      </c>
      <c r="AO49" s="27">
        <f>H49*0.416818062</f>
        <v>0</v>
      </c>
      <c r="AP49" s="27">
        <f>H49*(1-0.416818062)</f>
        <v>0</v>
      </c>
      <c r="AQ49" s="29" t="s">
        <v>58</v>
      </c>
      <c r="AV49" s="27">
        <f>ROUND(AW49+AX49,2)</f>
        <v>0</v>
      </c>
      <c r="AW49" s="27">
        <f>ROUND(G49*AO49,2)</f>
        <v>0</v>
      </c>
      <c r="AX49" s="27">
        <f>ROUND(G49*AP49,2)</f>
        <v>0</v>
      </c>
      <c r="AY49" s="29" t="s">
        <v>171</v>
      </c>
      <c r="AZ49" s="29" t="s">
        <v>171</v>
      </c>
      <c r="BA49" s="10" t="s">
        <v>64</v>
      </c>
      <c r="BC49" s="27">
        <f>AW49+AX49</f>
        <v>0</v>
      </c>
      <c r="BD49" s="27">
        <f>H49/(100-BE49)*100</f>
        <v>0</v>
      </c>
      <c r="BE49" s="27">
        <v>0</v>
      </c>
      <c r="BF49" s="27">
        <f>M49</f>
        <v>0.81912800000000008</v>
      </c>
      <c r="BH49" s="27">
        <f>G49*AO49</f>
        <v>0</v>
      </c>
      <c r="BI49" s="27">
        <f>G49*AP49</f>
        <v>0</v>
      </c>
      <c r="BJ49" s="27">
        <f>G49*H49</f>
        <v>0</v>
      </c>
      <c r="BK49" s="29" t="s">
        <v>65</v>
      </c>
      <c r="BL49" s="27">
        <v>90</v>
      </c>
      <c r="BW49" s="27">
        <v>21</v>
      </c>
      <c r="BX49" s="4" t="s">
        <v>169</v>
      </c>
    </row>
    <row r="50" spans="1:76">
      <c r="A50" s="30" t="s">
        <v>55</v>
      </c>
      <c r="B50" s="31" t="s">
        <v>55</v>
      </c>
      <c r="C50" s="31" t="s">
        <v>172</v>
      </c>
      <c r="D50" s="65" t="s">
        <v>173</v>
      </c>
      <c r="E50" s="66"/>
      <c r="F50" s="32" t="s">
        <v>35</v>
      </c>
      <c r="G50" s="32" t="s">
        <v>35</v>
      </c>
      <c r="H50" s="32" t="s">
        <v>35</v>
      </c>
      <c r="I50" s="1">
        <f>ROUND(SUM(I51:I51),2)</f>
        <v>0</v>
      </c>
      <c r="J50" s="1">
        <f>ROUND(SUM(J51:J51),2)</f>
        <v>0</v>
      </c>
      <c r="K50" s="1">
        <f>ROUND(SUM(K51:K51),2)</f>
        <v>0</v>
      </c>
      <c r="L50" s="10" t="s">
        <v>55</v>
      </c>
      <c r="M50" s="1">
        <f>SUM(M51:M51)</f>
        <v>2.9077839999999999</v>
      </c>
      <c r="N50" s="33" t="s">
        <v>55</v>
      </c>
      <c r="AI50" s="10" t="s">
        <v>55</v>
      </c>
      <c r="AS50" s="1">
        <f>SUM(AJ51:AJ51)</f>
        <v>0</v>
      </c>
      <c r="AT50" s="1">
        <f>SUM(AK51:AK51)</f>
        <v>0</v>
      </c>
      <c r="AU50" s="1">
        <f>SUM(AL51:AL51)</f>
        <v>0</v>
      </c>
    </row>
    <row r="51" spans="1:76">
      <c r="A51" s="2" t="s">
        <v>174</v>
      </c>
      <c r="B51" s="3" t="s">
        <v>55</v>
      </c>
      <c r="C51" s="3" t="s">
        <v>175</v>
      </c>
      <c r="D51" s="63" t="s">
        <v>176</v>
      </c>
      <c r="E51" s="64"/>
      <c r="F51" s="3" t="s">
        <v>138</v>
      </c>
      <c r="G51" s="27">
        <v>19.100000000000001</v>
      </c>
      <c r="H51" s="27">
        <v>0</v>
      </c>
      <c r="I51" s="27">
        <f>ROUND(G51*AO51,2)</f>
        <v>0</v>
      </c>
      <c r="J51" s="27">
        <f>ROUND(G51*AP51,2)</f>
        <v>0</v>
      </c>
      <c r="K51" s="27">
        <f>ROUND(G51*H51,2)</f>
        <v>0</v>
      </c>
      <c r="L51" s="27">
        <v>0.15223999999999999</v>
      </c>
      <c r="M51" s="27">
        <f>G51*L51</f>
        <v>2.9077839999999999</v>
      </c>
      <c r="N51" s="28" t="s">
        <v>62</v>
      </c>
      <c r="Z51" s="27">
        <f>ROUND(IF(AQ51="5",BJ51,0),2)</f>
        <v>0</v>
      </c>
      <c r="AB51" s="27">
        <f>ROUND(IF(AQ51="1",BH51,0),2)</f>
        <v>0</v>
      </c>
      <c r="AC51" s="27">
        <f>ROUND(IF(AQ51="1",BI51,0),2)</f>
        <v>0</v>
      </c>
      <c r="AD51" s="27">
        <f>ROUND(IF(AQ51="7",BH51,0),2)</f>
        <v>0</v>
      </c>
      <c r="AE51" s="27">
        <f>ROUND(IF(AQ51="7",BI51,0),2)</f>
        <v>0</v>
      </c>
      <c r="AF51" s="27">
        <f>ROUND(IF(AQ51="2",BH51,0),2)</f>
        <v>0</v>
      </c>
      <c r="AG51" s="27">
        <f>ROUND(IF(AQ51="2",BI51,0),2)</f>
        <v>0</v>
      </c>
      <c r="AH51" s="27">
        <f>ROUND(IF(AQ51="0",BJ51,0),2)</f>
        <v>0</v>
      </c>
      <c r="AI51" s="10" t="s">
        <v>55</v>
      </c>
      <c r="AJ51" s="27">
        <f>IF(AN51=0,K51,0)</f>
        <v>0</v>
      </c>
      <c r="AK51" s="27">
        <f>IF(AN51=15,K51,0)</f>
        <v>0</v>
      </c>
      <c r="AL51" s="27">
        <f>IF(AN51=21,K51,0)</f>
        <v>0</v>
      </c>
      <c r="AN51" s="27">
        <v>21</v>
      </c>
      <c r="AO51" s="27">
        <f>H51*0.748658033</f>
        <v>0</v>
      </c>
      <c r="AP51" s="27">
        <f>H51*(1-0.748658033)</f>
        <v>0</v>
      </c>
      <c r="AQ51" s="29" t="s">
        <v>58</v>
      </c>
      <c r="AV51" s="27">
        <f>ROUND(AW51+AX51,2)</f>
        <v>0</v>
      </c>
      <c r="AW51" s="27">
        <f>ROUND(G51*AO51,2)</f>
        <v>0</v>
      </c>
      <c r="AX51" s="27">
        <f>ROUND(G51*AP51,2)</f>
        <v>0</v>
      </c>
      <c r="AY51" s="29" t="s">
        <v>177</v>
      </c>
      <c r="AZ51" s="29" t="s">
        <v>177</v>
      </c>
      <c r="BA51" s="10" t="s">
        <v>64</v>
      </c>
      <c r="BC51" s="27">
        <f>AW51+AX51</f>
        <v>0</v>
      </c>
      <c r="BD51" s="27">
        <f>H51/(100-BE51)*100</f>
        <v>0</v>
      </c>
      <c r="BE51" s="27">
        <v>0</v>
      </c>
      <c r="BF51" s="27">
        <f>M51</f>
        <v>2.9077839999999999</v>
      </c>
      <c r="BH51" s="27">
        <f>G51*AO51</f>
        <v>0</v>
      </c>
      <c r="BI51" s="27">
        <f>G51*AP51</f>
        <v>0</v>
      </c>
      <c r="BJ51" s="27">
        <f>G51*H51</f>
        <v>0</v>
      </c>
      <c r="BK51" s="29" t="s">
        <v>65</v>
      </c>
      <c r="BL51" s="27">
        <v>91</v>
      </c>
      <c r="BW51" s="27">
        <v>21</v>
      </c>
      <c r="BX51" s="4" t="s">
        <v>176</v>
      </c>
    </row>
    <row r="52" spans="1:76">
      <c r="A52" s="30" t="s">
        <v>55</v>
      </c>
      <c r="B52" s="31" t="s">
        <v>55</v>
      </c>
      <c r="C52" s="31" t="s">
        <v>178</v>
      </c>
      <c r="D52" s="65" t="s">
        <v>179</v>
      </c>
      <c r="E52" s="66"/>
      <c r="F52" s="32" t="s">
        <v>35</v>
      </c>
      <c r="G52" s="32" t="s">
        <v>35</v>
      </c>
      <c r="H52" s="32" t="s">
        <v>35</v>
      </c>
      <c r="I52" s="1">
        <f>ROUND(SUM(I53:I53),2)</f>
        <v>0</v>
      </c>
      <c r="J52" s="1">
        <f>ROUND(SUM(J53:J53),2)</f>
        <v>0</v>
      </c>
      <c r="K52" s="1">
        <f>ROUND(SUM(K53:K53),2)</f>
        <v>0</v>
      </c>
      <c r="L52" s="10" t="s">
        <v>55</v>
      </c>
      <c r="M52" s="1">
        <f>SUM(M53:M53)</f>
        <v>0</v>
      </c>
      <c r="N52" s="33" t="s">
        <v>55</v>
      </c>
      <c r="AI52" s="10" t="s">
        <v>55</v>
      </c>
      <c r="AS52" s="1">
        <f>SUM(AJ53:AJ53)</f>
        <v>0</v>
      </c>
      <c r="AT52" s="1">
        <f>SUM(AK53:AK53)</f>
        <v>0</v>
      </c>
      <c r="AU52" s="1">
        <f>SUM(AL53:AL53)</f>
        <v>0</v>
      </c>
    </row>
    <row r="53" spans="1:76">
      <c r="A53" s="2" t="s">
        <v>180</v>
      </c>
      <c r="B53" s="3" t="s">
        <v>55</v>
      </c>
      <c r="C53" s="3" t="s">
        <v>181</v>
      </c>
      <c r="D53" s="63" t="s">
        <v>182</v>
      </c>
      <c r="E53" s="64"/>
      <c r="F53" s="3" t="s">
        <v>117</v>
      </c>
      <c r="G53" s="27">
        <v>52.1</v>
      </c>
      <c r="H53" s="27">
        <v>0</v>
      </c>
      <c r="I53" s="27">
        <f>ROUND(G53*AO53,2)</f>
        <v>0</v>
      </c>
      <c r="J53" s="27">
        <f>ROUND(G53*AP53,2)</f>
        <v>0</v>
      </c>
      <c r="K53" s="27">
        <f>ROUND(G53*H53,2)</f>
        <v>0</v>
      </c>
      <c r="L53" s="27">
        <v>0</v>
      </c>
      <c r="M53" s="27">
        <f>G53*L53</f>
        <v>0</v>
      </c>
      <c r="N53" s="28" t="s">
        <v>62</v>
      </c>
      <c r="Z53" s="27">
        <f>ROUND(IF(AQ53="5",BJ53,0),2)</f>
        <v>0</v>
      </c>
      <c r="AB53" s="27">
        <f>ROUND(IF(AQ53="1",BH53,0),2)</f>
        <v>0</v>
      </c>
      <c r="AC53" s="27">
        <f>ROUND(IF(AQ53="1",BI53,0),2)</f>
        <v>0</v>
      </c>
      <c r="AD53" s="27">
        <f>ROUND(IF(AQ53="7",BH53,0),2)</f>
        <v>0</v>
      </c>
      <c r="AE53" s="27">
        <f>ROUND(IF(AQ53="7",BI53,0),2)</f>
        <v>0</v>
      </c>
      <c r="AF53" s="27">
        <f>ROUND(IF(AQ53="2",BH53,0),2)</f>
        <v>0</v>
      </c>
      <c r="AG53" s="27">
        <f>ROUND(IF(AQ53="2",BI53,0),2)</f>
        <v>0</v>
      </c>
      <c r="AH53" s="27">
        <f>ROUND(IF(AQ53="0",BJ53,0),2)</f>
        <v>0</v>
      </c>
      <c r="AI53" s="10" t="s">
        <v>55</v>
      </c>
      <c r="AJ53" s="27">
        <f>IF(AN53=0,K53,0)</f>
        <v>0</v>
      </c>
      <c r="AK53" s="27">
        <f>IF(AN53=15,K53,0)</f>
        <v>0</v>
      </c>
      <c r="AL53" s="27">
        <f>IF(AN53=21,K53,0)</f>
        <v>0</v>
      </c>
      <c r="AN53" s="27">
        <v>21</v>
      </c>
      <c r="AO53" s="27">
        <f>H53*0</f>
        <v>0</v>
      </c>
      <c r="AP53" s="27">
        <f>H53*(1-0)</f>
        <v>0</v>
      </c>
      <c r="AQ53" s="29" t="s">
        <v>77</v>
      </c>
      <c r="AV53" s="27">
        <f>ROUND(AW53+AX53,2)</f>
        <v>0</v>
      </c>
      <c r="AW53" s="27">
        <f>ROUND(G53*AO53,2)</f>
        <v>0</v>
      </c>
      <c r="AX53" s="27">
        <f>ROUND(G53*AP53,2)</f>
        <v>0</v>
      </c>
      <c r="AY53" s="29" t="s">
        <v>183</v>
      </c>
      <c r="AZ53" s="29" t="s">
        <v>183</v>
      </c>
      <c r="BA53" s="10" t="s">
        <v>64</v>
      </c>
      <c r="BC53" s="27">
        <f>AW53+AX53</f>
        <v>0</v>
      </c>
      <c r="BD53" s="27">
        <f>H53/(100-BE53)*100</f>
        <v>0</v>
      </c>
      <c r="BE53" s="27">
        <v>0</v>
      </c>
      <c r="BF53" s="27">
        <f>M53</f>
        <v>0</v>
      </c>
      <c r="BH53" s="27">
        <f>G53*AO53</f>
        <v>0</v>
      </c>
      <c r="BI53" s="27">
        <f>G53*AP53</f>
        <v>0</v>
      </c>
      <c r="BJ53" s="27">
        <f>G53*H53</f>
        <v>0</v>
      </c>
      <c r="BK53" s="29" t="s">
        <v>65</v>
      </c>
      <c r="BL53" s="27"/>
      <c r="BW53" s="27">
        <v>21</v>
      </c>
      <c r="BX53" s="4" t="s">
        <v>182</v>
      </c>
    </row>
    <row r="54" spans="1:76">
      <c r="A54" s="30" t="s">
        <v>55</v>
      </c>
      <c r="B54" s="31" t="s">
        <v>55</v>
      </c>
      <c r="C54" s="31" t="s">
        <v>184</v>
      </c>
      <c r="D54" s="65" t="s">
        <v>185</v>
      </c>
      <c r="E54" s="66"/>
      <c r="F54" s="32" t="s">
        <v>35</v>
      </c>
      <c r="G54" s="32" t="s">
        <v>35</v>
      </c>
      <c r="H54" s="32" t="s">
        <v>35</v>
      </c>
      <c r="I54" s="1">
        <f>ROUND(SUM(I55:I60),2)</f>
        <v>0</v>
      </c>
      <c r="J54" s="1">
        <f>ROUND(SUM(J55:J60),2)</f>
        <v>0</v>
      </c>
      <c r="K54" s="1">
        <f>ROUND(SUM(K55:K60),2)</f>
        <v>0</v>
      </c>
      <c r="L54" s="10" t="s">
        <v>55</v>
      </c>
      <c r="M54" s="1">
        <f>SUM(M55:M60)</f>
        <v>5.5565000000000003E-2</v>
      </c>
      <c r="N54" s="33" t="s">
        <v>55</v>
      </c>
      <c r="AI54" s="10" t="s">
        <v>55</v>
      </c>
      <c r="AS54" s="1">
        <f>SUM(AJ55:AJ60)</f>
        <v>0</v>
      </c>
      <c r="AT54" s="1">
        <f>SUM(AK55:AK60)</f>
        <v>0</v>
      </c>
      <c r="AU54" s="1">
        <f>SUM(AL55:AL60)</f>
        <v>0</v>
      </c>
    </row>
    <row r="55" spans="1:76">
      <c r="A55" s="2" t="s">
        <v>186</v>
      </c>
      <c r="B55" s="3" t="s">
        <v>55</v>
      </c>
      <c r="C55" s="3" t="s">
        <v>187</v>
      </c>
      <c r="D55" s="63" t="s">
        <v>188</v>
      </c>
      <c r="E55" s="64"/>
      <c r="F55" s="3" t="s">
        <v>121</v>
      </c>
      <c r="G55" s="27">
        <v>2</v>
      </c>
      <c r="H55" s="27">
        <v>0</v>
      </c>
      <c r="I55" s="27">
        <f t="shared" ref="I55:I60" si="24">ROUND(G55*AO55,2)</f>
        <v>0</v>
      </c>
      <c r="J55" s="27">
        <f t="shared" ref="J55:J60" si="25">ROUND(G55*AP55,2)</f>
        <v>0</v>
      </c>
      <c r="K55" s="27">
        <f t="shared" ref="K55:K60" si="26">ROUND(G55*H55,2)</f>
        <v>0</v>
      </c>
      <c r="L55" s="27">
        <v>0</v>
      </c>
      <c r="M55" s="27">
        <f t="shared" ref="M55:M60" si="27">G55*L55</f>
        <v>0</v>
      </c>
      <c r="N55" s="28" t="s">
        <v>62</v>
      </c>
      <c r="Z55" s="27">
        <f t="shared" ref="Z55:Z60" si="28">ROUND(IF(AQ55="5",BJ55,0),2)</f>
        <v>0</v>
      </c>
      <c r="AB55" s="27">
        <f t="shared" ref="AB55:AB60" si="29">ROUND(IF(AQ55="1",BH55,0),2)</f>
        <v>0</v>
      </c>
      <c r="AC55" s="27">
        <f t="shared" ref="AC55:AC60" si="30">ROUND(IF(AQ55="1",BI55,0),2)</f>
        <v>0</v>
      </c>
      <c r="AD55" s="27">
        <f t="shared" ref="AD55:AD60" si="31">ROUND(IF(AQ55="7",BH55,0),2)</f>
        <v>0</v>
      </c>
      <c r="AE55" s="27">
        <f t="shared" ref="AE55:AE60" si="32">ROUND(IF(AQ55="7",BI55,0),2)</f>
        <v>0</v>
      </c>
      <c r="AF55" s="27">
        <f t="shared" ref="AF55:AF60" si="33">ROUND(IF(AQ55="2",BH55,0),2)</f>
        <v>0</v>
      </c>
      <c r="AG55" s="27">
        <f t="shared" ref="AG55:AG60" si="34">ROUND(IF(AQ55="2",BI55,0),2)</f>
        <v>0</v>
      </c>
      <c r="AH55" s="27">
        <f t="shared" ref="AH55:AH60" si="35">ROUND(IF(AQ55="0",BJ55,0),2)</f>
        <v>0</v>
      </c>
      <c r="AI55" s="10" t="s">
        <v>55</v>
      </c>
      <c r="AJ55" s="27">
        <f t="shared" ref="AJ55:AJ60" si="36">IF(AN55=0,K55,0)</f>
        <v>0</v>
      </c>
      <c r="AK55" s="27">
        <f t="shared" ref="AK55:AK60" si="37">IF(AN55=15,K55,0)</f>
        <v>0</v>
      </c>
      <c r="AL55" s="27">
        <f t="shared" ref="AL55:AL60" si="38">IF(AN55=21,K55,0)</f>
        <v>0</v>
      </c>
      <c r="AN55" s="27">
        <v>21</v>
      </c>
      <c r="AO55" s="27">
        <f>H55*0</f>
        <v>0</v>
      </c>
      <c r="AP55" s="27">
        <f>H55*(1-0)</f>
        <v>0</v>
      </c>
      <c r="AQ55" s="29" t="s">
        <v>68</v>
      </c>
      <c r="AV55" s="27">
        <f t="shared" ref="AV55:AV60" si="39">ROUND(AW55+AX55,2)</f>
        <v>0</v>
      </c>
      <c r="AW55" s="27">
        <f t="shared" ref="AW55:AW60" si="40">ROUND(G55*AO55,2)</f>
        <v>0</v>
      </c>
      <c r="AX55" s="27">
        <f t="shared" ref="AX55:AX60" si="41">ROUND(G55*AP55,2)</f>
        <v>0</v>
      </c>
      <c r="AY55" s="29" t="s">
        <v>189</v>
      </c>
      <c r="AZ55" s="29" t="s">
        <v>189</v>
      </c>
      <c r="BA55" s="10" t="s">
        <v>64</v>
      </c>
      <c r="BC55" s="27">
        <f t="shared" ref="BC55:BC60" si="42">AW55+AX55</f>
        <v>0</v>
      </c>
      <c r="BD55" s="27">
        <f t="shared" ref="BD55:BD60" si="43">H55/(100-BE55)*100</f>
        <v>0</v>
      </c>
      <c r="BE55" s="27">
        <v>0</v>
      </c>
      <c r="BF55" s="27">
        <f t="shared" ref="BF55:BF60" si="44">M55</f>
        <v>0</v>
      </c>
      <c r="BH55" s="27">
        <f t="shared" ref="BH55:BH60" si="45">G55*AO55</f>
        <v>0</v>
      </c>
      <c r="BI55" s="27">
        <f t="shared" ref="BI55:BI60" si="46">G55*AP55</f>
        <v>0</v>
      </c>
      <c r="BJ55" s="27">
        <f t="shared" ref="BJ55:BJ60" si="47">G55*H55</f>
        <v>0</v>
      </c>
      <c r="BK55" s="29" t="s">
        <v>65</v>
      </c>
      <c r="BL55" s="27"/>
      <c r="BW55" s="27">
        <v>21</v>
      </c>
      <c r="BX55" s="4" t="s">
        <v>188</v>
      </c>
    </row>
    <row r="56" spans="1:76">
      <c r="A56" s="2" t="s">
        <v>109</v>
      </c>
      <c r="B56" s="3" t="s">
        <v>55</v>
      </c>
      <c r="C56" s="3" t="s">
        <v>190</v>
      </c>
      <c r="D56" s="63" t="s">
        <v>191</v>
      </c>
      <c r="E56" s="64"/>
      <c r="F56" s="3" t="s">
        <v>121</v>
      </c>
      <c r="G56" s="27">
        <v>2</v>
      </c>
      <c r="H56" s="27">
        <v>0</v>
      </c>
      <c r="I56" s="27">
        <f t="shared" si="24"/>
        <v>0</v>
      </c>
      <c r="J56" s="27">
        <f t="shared" si="25"/>
        <v>0</v>
      </c>
      <c r="K56" s="27">
        <f t="shared" si="26"/>
        <v>0</v>
      </c>
      <c r="L56" s="27">
        <v>0</v>
      </c>
      <c r="M56" s="27">
        <f t="shared" si="27"/>
        <v>0</v>
      </c>
      <c r="N56" s="28" t="s">
        <v>62</v>
      </c>
      <c r="Z56" s="27">
        <f t="shared" si="28"/>
        <v>0</v>
      </c>
      <c r="AB56" s="27">
        <f t="shared" si="29"/>
        <v>0</v>
      </c>
      <c r="AC56" s="27">
        <f t="shared" si="30"/>
        <v>0</v>
      </c>
      <c r="AD56" s="27">
        <f t="shared" si="31"/>
        <v>0</v>
      </c>
      <c r="AE56" s="27">
        <f t="shared" si="32"/>
        <v>0</v>
      </c>
      <c r="AF56" s="27">
        <f t="shared" si="33"/>
        <v>0</v>
      </c>
      <c r="AG56" s="27">
        <f t="shared" si="34"/>
        <v>0</v>
      </c>
      <c r="AH56" s="27">
        <f t="shared" si="35"/>
        <v>0</v>
      </c>
      <c r="AI56" s="10" t="s">
        <v>55</v>
      </c>
      <c r="AJ56" s="27">
        <f t="shared" si="36"/>
        <v>0</v>
      </c>
      <c r="AK56" s="27">
        <f t="shared" si="37"/>
        <v>0</v>
      </c>
      <c r="AL56" s="27">
        <f t="shared" si="38"/>
        <v>0</v>
      </c>
      <c r="AN56" s="27">
        <v>21</v>
      </c>
      <c r="AO56" s="27">
        <f>H56*0</f>
        <v>0</v>
      </c>
      <c r="AP56" s="27">
        <f>H56*(1-0)</f>
        <v>0</v>
      </c>
      <c r="AQ56" s="29" t="s">
        <v>68</v>
      </c>
      <c r="AV56" s="27">
        <f t="shared" si="39"/>
        <v>0</v>
      </c>
      <c r="AW56" s="27">
        <f t="shared" si="40"/>
        <v>0</v>
      </c>
      <c r="AX56" s="27">
        <f t="shared" si="41"/>
        <v>0</v>
      </c>
      <c r="AY56" s="29" t="s">
        <v>189</v>
      </c>
      <c r="AZ56" s="29" t="s">
        <v>189</v>
      </c>
      <c r="BA56" s="10" t="s">
        <v>64</v>
      </c>
      <c r="BC56" s="27">
        <f t="shared" si="42"/>
        <v>0</v>
      </c>
      <c r="BD56" s="27">
        <f t="shared" si="43"/>
        <v>0</v>
      </c>
      <c r="BE56" s="27">
        <v>0</v>
      </c>
      <c r="BF56" s="27">
        <f t="shared" si="44"/>
        <v>0</v>
      </c>
      <c r="BH56" s="27">
        <f t="shared" si="45"/>
        <v>0</v>
      </c>
      <c r="BI56" s="27">
        <f t="shared" si="46"/>
        <v>0</v>
      </c>
      <c r="BJ56" s="27">
        <f t="shared" si="47"/>
        <v>0</v>
      </c>
      <c r="BK56" s="29" t="s">
        <v>65</v>
      </c>
      <c r="BL56" s="27"/>
      <c r="BW56" s="27">
        <v>21</v>
      </c>
      <c r="BX56" s="4" t="s">
        <v>191</v>
      </c>
    </row>
    <row r="57" spans="1:76">
      <c r="A57" s="2" t="s">
        <v>192</v>
      </c>
      <c r="B57" s="3" t="s">
        <v>55</v>
      </c>
      <c r="C57" s="3" t="s">
        <v>193</v>
      </c>
      <c r="D57" s="63" t="s">
        <v>194</v>
      </c>
      <c r="E57" s="64"/>
      <c r="F57" s="3" t="s">
        <v>138</v>
      </c>
      <c r="G57" s="27">
        <v>3</v>
      </c>
      <c r="H57" s="27">
        <v>0</v>
      </c>
      <c r="I57" s="27">
        <f t="shared" si="24"/>
        <v>0</v>
      </c>
      <c r="J57" s="27">
        <f t="shared" si="25"/>
        <v>0</v>
      </c>
      <c r="K57" s="27">
        <f t="shared" si="26"/>
        <v>0</v>
      </c>
      <c r="L57" s="27">
        <v>1.0499999999999999E-3</v>
      </c>
      <c r="M57" s="27">
        <f t="shared" si="27"/>
        <v>3.15E-3</v>
      </c>
      <c r="N57" s="28" t="s">
        <v>62</v>
      </c>
      <c r="Z57" s="27">
        <f t="shared" si="28"/>
        <v>0</v>
      </c>
      <c r="AB57" s="27">
        <f t="shared" si="29"/>
        <v>0</v>
      </c>
      <c r="AC57" s="27">
        <f t="shared" si="30"/>
        <v>0</v>
      </c>
      <c r="AD57" s="27">
        <f t="shared" si="31"/>
        <v>0</v>
      </c>
      <c r="AE57" s="27">
        <f t="shared" si="32"/>
        <v>0</v>
      </c>
      <c r="AF57" s="27">
        <f t="shared" si="33"/>
        <v>0</v>
      </c>
      <c r="AG57" s="27">
        <f t="shared" si="34"/>
        <v>0</v>
      </c>
      <c r="AH57" s="27">
        <f t="shared" si="35"/>
        <v>0</v>
      </c>
      <c r="AI57" s="10" t="s">
        <v>55</v>
      </c>
      <c r="AJ57" s="27">
        <f t="shared" si="36"/>
        <v>0</v>
      </c>
      <c r="AK57" s="27">
        <f t="shared" si="37"/>
        <v>0</v>
      </c>
      <c r="AL57" s="27">
        <f t="shared" si="38"/>
        <v>0</v>
      </c>
      <c r="AN57" s="27">
        <v>21</v>
      </c>
      <c r="AO57" s="27">
        <f>H57*0.313242507</f>
        <v>0</v>
      </c>
      <c r="AP57" s="27">
        <f>H57*(1-0.313242507)</f>
        <v>0</v>
      </c>
      <c r="AQ57" s="29" t="s">
        <v>68</v>
      </c>
      <c r="AV57" s="27">
        <f t="shared" si="39"/>
        <v>0</v>
      </c>
      <c r="AW57" s="27">
        <f t="shared" si="40"/>
        <v>0</v>
      </c>
      <c r="AX57" s="27">
        <f t="shared" si="41"/>
        <v>0</v>
      </c>
      <c r="AY57" s="29" t="s">
        <v>189</v>
      </c>
      <c r="AZ57" s="29" t="s">
        <v>189</v>
      </c>
      <c r="BA57" s="10" t="s">
        <v>64</v>
      </c>
      <c r="BC57" s="27">
        <f t="shared" si="42"/>
        <v>0</v>
      </c>
      <c r="BD57" s="27">
        <f t="shared" si="43"/>
        <v>0</v>
      </c>
      <c r="BE57" s="27">
        <v>0</v>
      </c>
      <c r="BF57" s="27">
        <f t="shared" si="44"/>
        <v>3.15E-3</v>
      </c>
      <c r="BH57" s="27">
        <f t="shared" si="45"/>
        <v>0</v>
      </c>
      <c r="BI57" s="27">
        <f t="shared" si="46"/>
        <v>0</v>
      </c>
      <c r="BJ57" s="27">
        <f t="shared" si="47"/>
        <v>0</v>
      </c>
      <c r="BK57" s="29" t="s">
        <v>65</v>
      </c>
      <c r="BL57" s="27"/>
      <c r="BW57" s="27">
        <v>21</v>
      </c>
      <c r="BX57" s="4" t="s">
        <v>194</v>
      </c>
    </row>
    <row r="58" spans="1:76">
      <c r="A58" s="2" t="s">
        <v>195</v>
      </c>
      <c r="B58" s="3" t="s">
        <v>55</v>
      </c>
      <c r="C58" s="3" t="s">
        <v>196</v>
      </c>
      <c r="D58" s="63" t="s">
        <v>197</v>
      </c>
      <c r="E58" s="64"/>
      <c r="F58" s="3" t="s">
        <v>138</v>
      </c>
      <c r="G58" s="27">
        <v>29.5</v>
      </c>
      <c r="H58" s="27">
        <v>0</v>
      </c>
      <c r="I58" s="27">
        <f t="shared" si="24"/>
        <v>0</v>
      </c>
      <c r="J58" s="27">
        <f t="shared" si="25"/>
        <v>0</v>
      </c>
      <c r="K58" s="27">
        <f t="shared" si="26"/>
        <v>0</v>
      </c>
      <c r="L58" s="27">
        <v>1.0499999999999999E-3</v>
      </c>
      <c r="M58" s="27">
        <f t="shared" si="27"/>
        <v>3.0974999999999999E-2</v>
      </c>
      <c r="N58" s="28" t="s">
        <v>62</v>
      </c>
      <c r="Z58" s="27">
        <f t="shared" si="28"/>
        <v>0</v>
      </c>
      <c r="AB58" s="27">
        <f t="shared" si="29"/>
        <v>0</v>
      </c>
      <c r="AC58" s="27">
        <f t="shared" si="30"/>
        <v>0</v>
      </c>
      <c r="AD58" s="27">
        <f t="shared" si="31"/>
        <v>0</v>
      </c>
      <c r="AE58" s="27">
        <f t="shared" si="32"/>
        <v>0</v>
      </c>
      <c r="AF58" s="27">
        <f t="shared" si="33"/>
        <v>0</v>
      </c>
      <c r="AG58" s="27">
        <f t="shared" si="34"/>
        <v>0</v>
      </c>
      <c r="AH58" s="27">
        <f t="shared" si="35"/>
        <v>0</v>
      </c>
      <c r="AI58" s="10" t="s">
        <v>55</v>
      </c>
      <c r="AJ58" s="27">
        <f t="shared" si="36"/>
        <v>0</v>
      </c>
      <c r="AK58" s="27">
        <f t="shared" si="37"/>
        <v>0</v>
      </c>
      <c r="AL58" s="27">
        <f t="shared" si="38"/>
        <v>0</v>
      </c>
      <c r="AN58" s="27">
        <v>21</v>
      </c>
      <c r="AO58" s="27">
        <f>H58*0.340588235</f>
        <v>0</v>
      </c>
      <c r="AP58" s="27">
        <f>H58*(1-0.340588235)</f>
        <v>0</v>
      </c>
      <c r="AQ58" s="29" t="s">
        <v>68</v>
      </c>
      <c r="AV58" s="27">
        <f t="shared" si="39"/>
        <v>0</v>
      </c>
      <c r="AW58" s="27">
        <f t="shared" si="40"/>
        <v>0</v>
      </c>
      <c r="AX58" s="27">
        <f t="shared" si="41"/>
        <v>0</v>
      </c>
      <c r="AY58" s="29" t="s">
        <v>189</v>
      </c>
      <c r="AZ58" s="29" t="s">
        <v>189</v>
      </c>
      <c r="BA58" s="10" t="s">
        <v>64</v>
      </c>
      <c r="BC58" s="27">
        <f t="shared" si="42"/>
        <v>0</v>
      </c>
      <c r="BD58" s="27">
        <f t="shared" si="43"/>
        <v>0</v>
      </c>
      <c r="BE58" s="27">
        <v>0</v>
      </c>
      <c r="BF58" s="27">
        <f t="shared" si="44"/>
        <v>3.0974999999999999E-2</v>
      </c>
      <c r="BH58" s="27">
        <f t="shared" si="45"/>
        <v>0</v>
      </c>
      <c r="BI58" s="27">
        <f t="shared" si="46"/>
        <v>0</v>
      </c>
      <c r="BJ58" s="27">
        <f t="shared" si="47"/>
        <v>0</v>
      </c>
      <c r="BK58" s="29" t="s">
        <v>65</v>
      </c>
      <c r="BL58" s="27"/>
      <c r="BW58" s="27">
        <v>21</v>
      </c>
      <c r="BX58" s="4" t="s">
        <v>197</v>
      </c>
    </row>
    <row r="59" spans="1:76">
      <c r="A59" s="2" t="s">
        <v>198</v>
      </c>
      <c r="B59" s="3" t="s">
        <v>55</v>
      </c>
      <c r="C59" s="3" t="s">
        <v>199</v>
      </c>
      <c r="D59" s="63" t="s">
        <v>200</v>
      </c>
      <c r="E59" s="64"/>
      <c r="F59" s="3" t="s">
        <v>138</v>
      </c>
      <c r="G59" s="27">
        <v>33.5</v>
      </c>
      <c r="H59" s="27">
        <v>0</v>
      </c>
      <c r="I59" s="27">
        <f t="shared" si="24"/>
        <v>0</v>
      </c>
      <c r="J59" s="27">
        <f t="shared" si="25"/>
        <v>0</v>
      </c>
      <c r="K59" s="27">
        <f t="shared" si="26"/>
        <v>0</v>
      </c>
      <c r="L59" s="27">
        <v>6.4000000000000005E-4</v>
      </c>
      <c r="M59" s="27">
        <f t="shared" si="27"/>
        <v>2.1440000000000001E-2</v>
      </c>
      <c r="N59" s="28" t="s">
        <v>62</v>
      </c>
      <c r="Z59" s="27">
        <f t="shared" si="28"/>
        <v>0</v>
      </c>
      <c r="AB59" s="27">
        <f t="shared" si="29"/>
        <v>0</v>
      </c>
      <c r="AC59" s="27">
        <f t="shared" si="30"/>
        <v>0</v>
      </c>
      <c r="AD59" s="27">
        <f t="shared" si="31"/>
        <v>0</v>
      </c>
      <c r="AE59" s="27">
        <f t="shared" si="32"/>
        <v>0</v>
      </c>
      <c r="AF59" s="27">
        <f t="shared" si="33"/>
        <v>0</v>
      </c>
      <c r="AG59" s="27">
        <f t="shared" si="34"/>
        <v>0</v>
      </c>
      <c r="AH59" s="27">
        <f t="shared" si="35"/>
        <v>0</v>
      </c>
      <c r="AI59" s="10" t="s">
        <v>55</v>
      </c>
      <c r="AJ59" s="27">
        <f t="shared" si="36"/>
        <v>0</v>
      </c>
      <c r="AK59" s="27">
        <f t="shared" si="37"/>
        <v>0</v>
      </c>
      <c r="AL59" s="27">
        <f t="shared" si="38"/>
        <v>0</v>
      </c>
      <c r="AN59" s="27">
        <v>21</v>
      </c>
      <c r="AO59" s="27">
        <f>H59*0.689677886</f>
        <v>0</v>
      </c>
      <c r="AP59" s="27">
        <f>H59*(1-0.689677886)</f>
        <v>0</v>
      </c>
      <c r="AQ59" s="29" t="s">
        <v>68</v>
      </c>
      <c r="AV59" s="27">
        <f t="shared" si="39"/>
        <v>0</v>
      </c>
      <c r="AW59" s="27">
        <f t="shared" si="40"/>
        <v>0</v>
      </c>
      <c r="AX59" s="27">
        <f t="shared" si="41"/>
        <v>0</v>
      </c>
      <c r="AY59" s="29" t="s">
        <v>189</v>
      </c>
      <c r="AZ59" s="29" t="s">
        <v>189</v>
      </c>
      <c r="BA59" s="10" t="s">
        <v>64</v>
      </c>
      <c r="BC59" s="27">
        <f t="shared" si="42"/>
        <v>0</v>
      </c>
      <c r="BD59" s="27">
        <f t="shared" si="43"/>
        <v>0</v>
      </c>
      <c r="BE59" s="27">
        <v>0</v>
      </c>
      <c r="BF59" s="27">
        <f t="shared" si="44"/>
        <v>2.1440000000000001E-2</v>
      </c>
      <c r="BH59" s="27">
        <f t="shared" si="45"/>
        <v>0</v>
      </c>
      <c r="BI59" s="27">
        <f t="shared" si="46"/>
        <v>0</v>
      </c>
      <c r="BJ59" s="27">
        <f t="shared" si="47"/>
        <v>0</v>
      </c>
      <c r="BK59" s="29" t="s">
        <v>65</v>
      </c>
      <c r="BL59" s="27"/>
      <c r="BW59" s="27">
        <v>21</v>
      </c>
      <c r="BX59" s="4" t="s">
        <v>200</v>
      </c>
    </row>
    <row r="60" spans="1:76">
      <c r="A60" s="2" t="s">
        <v>201</v>
      </c>
      <c r="B60" s="3" t="s">
        <v>55</v>
      </c>
      <c r="C60" s="3" t="s">
        <v>202</v>
      </c>
      <c r="D60" s="63" t="s">
        <v>203</v>
      </c>
      <c r="E60" s="64"/>
      <c r="F60" s="3" t="s">
        <v>138</v>
      </c>
      <c r="G60" s="27">
        <v>33</v>
      </c>
      <c r="H60" s="27">
        <v>0</v>
      </c>
      <c r="I60" s="27">
        <f t="shared" si="24"/>
        <v>0</v>
      </c>
      <c r="J60" s="27">
        <f t="shared" si="25"/>
        <v>0</v>
      </c>
      <c r="K60" s="27">
        <f t="shared" si="26"/>
        <v>0</v>
      </c>
      <c r="L60" s="27">
        <v>0</v>
      </c>
      <c r="M60" s="27">
        <f t="shared" si="27"/>
        <v>0</v>
      </c>
      <c r="N60" s="28" t="s">
        <v>62</v>
      </c>
      <c r="Z60" s="27">
        <f t="shared" si="28"/>
        <v>0</v>
      </c>
      <c r="AB60" s="27">
        <f t="shared" si="29"/>
        <v>0</v>
      </c>
      <c r="AC60" s="27">
        <f t="shared" si="30"/>
        <v>0</v>
      </c>
      <c r="AD60" s="27">
        <f t="shared" si="31"/>
        <v>0</v>
      </c>
      <c r="AE60" s="27">
        <f t="shared" si="32"/>
        <v>0</v>
      </c>
      <c r="AF60" s="27">
        <f t="shared" si="33"/>
        <v>0</v>
      </c>
      <c r="AG60" s="27">
        <f t="shared" si="34"/>
        <v>0</v>
      </c>
      <c r="AH60" s="27">
        <f t="shared" si="35"/>
        <v>0</v>
      </c>
      <c r="AI60" s="10" t="s">
        <v>55</v>
      </c>
      <c r="AJ60" s="27">
        <f t="shared" si="36"/>
        <v>0</v>
      </c>
      <c r="AK60" s="27">
        <f t="shared" si="37"/>
        <v>0</v>
      </c>
      <c r="AL60" s="27">
        <f t="shared" si="38"/>
        <v>0</v>
      </c>
      <c r="AN60" s="27">
        <v>21</v>
      </c>
      <c r="AO60" s="27">
        <f>H60*0</f>
        <v>0</v>
      </c>
      <c r="AP60" s="27">
        <f>H60*(1-0)</f>
        <v>0</v>
      </c>
      <c r="AQ60" s="29" t="s">
        <v>68</v>
      </c>
      <c r="AV60" s="27">
        <f t="shared" si="39"/>
        <v>0</v>
      </c>
      <c r="AW60" s="27">
        <f t="shared" si="40"/>
        <v>0</v>
      </c>
      <c r="AX60" s="27">
        <f t="shared" si="41"/>
        <v>0</v>
      </c>
      <c r="AY60" s="29" t="s">
        <v>189</v>
      </c>
      <c r="AZ60" s="29" t="s">
        <v>189</v>
      </c>
      <c r="BA60" s="10" t="s">
        <v>64</v>
      </c>
      <c r="BC60" s="27">
        <f t="shared" si="42"/>
        <v>0</v>
      </c>
      <c r="BD60" s="27">
        <f t="shared" si="43"/>
        <v>0</v>
      </c>
      <c r="BE60" s="27">
        <v>0</v>
      </c>
      <c r="BF60" s="27">
        <f t="shared" si="44"/>
        <v>0</v>
      </c>
      <c r="BH60" s="27">
        <f t="shared" si="45"/>
        <v>0</v>
      </c>
      <c r="BI60" s="27">
        <f t="shared" si="46"/>
        <v>0</v>
      </c>
      <c r="BJ60" s="27">
        <f t="shared" si="47"/>
        <v>0</v>
      </c>
      <c r="BK60" s="29" t="s">
        <v>65</v>
      </c>
      <c r="BL60" s="27"/>
      <c r="BW60" s="27">
        <v>21</v>
      </c>
      <c r="BX60" s="4" t="s">
        <v>203</v>
      </c>
    </row>
    <row r="61" spans="1:76">
      <c r="A61" s="30" t="s">
        <v>55</v>
      </c>
      <c r="B61" s="31" t="s">
        <v>55</v>
      </c>
      <c r="C61" s="31" t="s">
        <v>204</v>
      </c>
      <c r="D61" s="65" t="s">
        <v>205</v>
      </c>
      <c r="E61" s="66"/>
      <c r="F61" s="32" t="s">
        <v>35</v>
      </c>
      <c r="G61" s="32" t="s">
        <v>35</v>
      </c>
      <c r="H61" s="32"/>
      <c r="I61" s="1">
        <f>ROUND(SUM(I62:I72),2)</f>
        <v>0</v>
      </c>
      <c r="J61" s="1">
        <f>ROUND(SUM(J62:J72),2)</f>
        <v>0</v>
      </c>
      <c r="K61" s="1">
        <f>ROUND(SUM(K62:K72),2)</f>
        <v>0</v>
      </c>
      <c r="L61" s="10" t="s">
        <v>55</v>
      </c>
      <c r="M61" s="1">
        <f>SUM(M62:M72)</f>
        <v>4.4067479999999994</v>
      </c>
      <c r="N61" s="33" t="s">
        <v>55</v>
      </c>
      <c r="AI61" s="10" t="s">
        <v>55</v>
      </c>
      <c r="AS61" s="1">
        <f>SUM(AJ62:AJ72)</f>
        <v>0</v>
      </c>
      <c r="AT61" s="1">
        <f>SUM(AK62:AK72)</f>
        <v>0</v>
      </c>
      <c r="AU61" s="1">
        <f>SUM(AL62:AL72)</f>
        <v>0</v>
      </c>
    </row>
    <row r="62" spans="1:76">
      <c r="A62" s="2" t="s">
        <v>206</v>
      </c>
      <c r="B62" s="3" t="s">
        <v>55</v>
      </c>
      <c r="C62" s="3" t="s">
        <v>207</v>
      </c>
      <c r="D62" s="63" t="s">
        <v>208</v>
      </c>
      <c r="E62" s="64"/>
      <c r="F62" s="3" t="s">
        <v>61</v>
      </c>
      <c r="G62" s="27">
        <v>3.1</v>
      </c>
      <c r="H62" s="27">
        <v>0</v>
      </c>
      <c r="I62" s="27">
        <f t="shared" ref="I62:I72" si="48">ROUND(G62*AO62,2)</f>
        <v>0</v>
      </c>
      <c r="J62" s="27">
        <f t="shared" ref="J62:J72" si="49">ROUND(G62*AP62,2)</f>
        <v>0</v>
      </c>
      <c r="K62" s="27">
        <f t="shared" ref="K62:K72" si="50">ROUND(G62*H62,2)</f>
        <v>0</v>
      </c>
      <c r="L62" s="27">
        <v>0</v>
      </c>
      <c r="M62" s="27">
        <f t="shared" ref="M62:M72" si="51">G62*L62</f>
        <v>0</v>
      </c>
      <c r="N62" s="28" t="s">
        <v>62</v>
      </c>
      <c r="Z62" s="27">
        <f t="shared" ref="Z62:Z72" si="52">ROUND(IF(AQ62="5",BJ62,0),2)</f>
        <v>0</v>
      </c>
      <c r="AB62" s="27">
        <f t="shared" ref="AB62:AB72" si="53">ROUND(IF(AQ62="1",BH62,0),2)</f>
        <v>0</v>
      </c>
      <c r="AC62" s="27">
        <f t="shared" ref="AC62:AC72" si="54">ROUND(IF(AQ62="1",BI62,0),2)</f>
        <v>0</v>
      </c>
      <c r="AD62" s="27">
        <f t="shared" ref="AD62:AD72" si="55">ROUND(IF(AQ62="7",BH62,0),2)</f>
        <v>0</v>
      </c>
      <c r="AE62" s="27">
        <f t="shared" ref="AE62:AE72" si="56">ROUND(IF(AQ62="7",BI62,0),2)</f>
        <v>0</v>
      </c>
      <c r="AF62" s="27">
        <f t="shared" ref="AF62:AF72" si="57">ROUND(IF(AQ62="2",BH62,0),2)</f>
        <v>0</v>
      </c>
      <c r="AG62" s="27">
        <f t="shared" ref="AG62:AG72" si="58">ROUND(IF(AQ62="2",BI62,0),2)</f>
        <v>0</v>
      </c>
      <c r="AH62" s="27">
        <f t="shared" ref="AH62:AH72" si="59">ROUND(IF(AQ62="0",BJ62,0),2)</f>
        <v>0</v>
      </c>
      <c r="AI62" s="10" t="s">
        <v>55</v>
      </c>
      <c r="AJ62" s="27">
        <f t="shared" ref="AJ62:AJ72" si="60">IF(AN62=0,K62,0)</f>
        <v>0</v>
      </c>
      <c r="AK62" s="27">
        <f t="shared" ref="AK62:AK72" si="61">IF(AN62=15,K62,0)</f>
        <v>0</v>
      </c>
      <c r="AL62" s="27">
        <f t="shared" ref="AL62:AL72" si="62">IF(AN62=21,K62,0)</f>
        <v>0</v>
      </c>
      <c r="AN62" s="27">
        <v>21</v>
      </c>
      <c r="AO62" s="27">
        <f>H62*0</f>
        <v>0</v>
      </c>
      <c r="AP62" s="27">
        <f>H62*(1-0)</f>
        <v>0</v>
      </c>
      <c r="AQ62" s="29" t="s">
        <v>68</v>
      </c>
      <c r="AV62" s="27">
        <f t="shared" ref="AV62:AV72" si="63">ROUND(AW62+AX62,2)</f>
        <v>0</v>
      </c>
      <c r="AW62" s="27">
        <f t="shared" ref="AW62:AW72" si="64">ROUND(G62*AO62,2)</f>
        <v>0</v>
      </c>
      <c r="AX62" s="27">
        <f t="shared" ref="AX62:AX72" si="65">ROUND(G62*AP62,2)</f>
        <v>0</v>
      </c>
      <c r="AY62" s="29" t="s">
        <v>209</v>
      </c>
      <c r="AZ62" s="29" t="s">
        <v>209</v>
      </c>
      <c r="BA62" s="10" t="s">
        <v>64</v>
      </c>
      <c r="BC62" s="27">
        <f t="shared" ref="BC62:BC72" si="66">AW62+AX62</f>
        <v>0</v>
      </c>
      <c r="BD62" s="27">
        <f t="shared" ref="BD62:BD72" si="67">H62/(100-BE62)*100</f>
        <v>0</v>
      </c>
      <c r="BE62" s="27">
        <v>0</v>
      </c>
      <c r="BF62" s="27">
        <f t="shared" ref="BF62:BF72" si="68">M62</f>
        <v>0</v>
      </c>
      <c r="BH62" s="27">
        <f t="shared" ref="BH62:BH72" si="69">G62*AO62</f>
        <v>0</v>
      </c>
      <c r="BI62" s="27">
        <f t="shared" ref="BI62:BI72" si="70">G62*AP62</f>
        <v>0</v>
      </c>
      <c r="BJ62" s="27">
        <f t="shared" ref="BJ62:BJ72" si="71">G62*H62</f>
        <v>0</v>
      </c>
      <c r="BK62" s="29" t="s">
        <v>65</v>
      </c>
      <c r="BL62" s="27"/>
      <c r="BW62" s="27">
        <v>21</v>
      </c>
      <c r="BX62" s="4" t="s">
        <v>208</v>
      </c>
    </row>
    <row r="63" spans="1:76">
      <c r="A63" s="2" t="s">
        <v>210</v>
      </c>
      <c r="B63" s="3" t="s">
        <v>55</v>
      </c>
      <c r="C63" s="3" t="s">
        <v>211</v>
      </c>
      <c r="D63" s="63" t="s">
        <v>212</v>
      </c>
      <c r="E63" s="64"/>
      <c r="F63" s="3" t="s">
        <v>138</v>
      </c>
      <c r="G63" s="27">
        <v>29.5</v>
      </c>
      <c r="H63" s="27">
        <v>0</v>
      </c>
      <c r="I63" s="27">
        <f t="shared" si="48"/>
        <v>0</v>
      </c>
      <c r="J63" s="27">
        <f t="shared" si="49"/>
        <v>0</v>
      </c>
      <c r="K63" s="27">
        <f t="shared" si="50"/>
        <v>0</v>
      </c>
      <c r="L63" s="27">
        <v>0</v>
      </c>
      <c r="M63" s="27">
        <f t="shared" si="51"/>
        <v>0</v>
      </c>
      <c r="N63" s="28" t="s">
        <v>62</v>
      </c>
      <c r="Z63" s="27">
        <f t="shared" si="52"/>
        <v>0</v>
      </c>
      <c r="AB63" s="27">
        <f t="shared" si="53"/>
        <v>0</v>
      </c>
      <c r="AC63" s="27">
        <f t="shared" si="54"/>
        <v>0</v>
      </c>
      <c r="AD63" s="27">
        <f t="shared" si="55"/>
        <v>0</v>
      </c>
      <c r="AE63" s="27">
        <f t="shared" si="56"/>
        <v>0</v>
      </c>
      <c r="AF63" s="27">
        <f t="shared" si="57"/>
        <v>0</v>
      </c>
      <c r="AG63" s="27">
        <f t="shared" si="58"/>
        <v>0</v>
      </c>
      <c r="AH63" s="27">
        <f t="shared" si="59"/>
        <v>0</v>
      </c>
      <c r="AI63" s="10" t="s">
        <v>55</v>
      </c>
      <c r="AJ63" s="27">
        <f t="shared" si="60"/>
        <v>0</v>
      </c>
      <c r="AK63" s="27">
        <f t="shared" si="61"/>
        <v>0</v>
      </c>
      <c r="AL63" s="27">
        <f t="shared" si="62"/>
        <v>0</v>
      </c>
      <c r="AN63" s="27">
        <v>21</v>
      </c>
      <c r="AO63" s="27">
        <f>H63*0</f>
        <v>0</v>
      </c>
      <c r="AP63" s="27">
        <f>H63*(1-0)</f>
        <v>0</v>
      </c>
      <c r="AQ63" s="29" t="s">
        <v>68</v>
      </c>
      <c r="AV63" s="27">
        <f t="shared" si="63"/>
        <v>0</v>
      </c>
      <c r="AW63" s="27">
        <f t="shared" si="64"/>
        <v>0</v>
      </c>
      <c r="AX63" s="27">
        <f t="shared" si="65"/>
        <v>0</v>
      </c>
      <c r="AY63" s="29" t="s">
        <v>209</v>
      </c>
      <c r="AZ63" s="29" t="s">
        <v>209</v>
      </c>
      <c r="BA63" s="10" t="s">
        <v>64</v>
      </c>
      <c r="BC63" s="27">
        <f t="shared" si="66"/>
        <v>0</v>
      </c>
      <c r="BD63" s="27">
        <f t="shared" si="67"/>
        <v>0</v>
      </c>
      <c r="BE63" s="27">
        <v>0</v>
      </c>
      <c r="BF63" s="27">
        <f t="shared" si="68"/>
        <v>0</v>
      </c>
      <c r="BH63" s="27">
        <f t="shared" si="69"/>
        <v>0</v>
      </c>
      <c r="BI63" s="27">
        <f t="shared" si="70"/>
        <v>0</v>
      </c>
      <c r="BJ63" s="27">
        <f t="shared" si="71"/>
        <v>0</v>
      </c>
      <c r="BK63" s="29" t="s">
        <v>65</v>
      </c>
      <c r="BL63" s="27"/>
      <c r="BW63" s="27">
        <v>21</v>
      </c>
      <c r="BX63" s="4" t="s">
        <v>212</v>
      </c>
    </row>
    <row r="64" spans="1:76">
      <c r="A64" s="2" t="s">
        <v>213</v>
      </c>
      <c r="B64" s="3" t="s">
        <v>55</v>
      </c>
      <c r="C64" s="3" t="s">
        <v>214</v>
      </c>
      <c r="D64" s="63" t="s">
        <v>215</v>
      </c>
      <c r="E64" s="64"/>
      <c r="F64" s="3" t="s">
        <v>138</v>
      </c>
      <c r="G64" s="27">
        <v>11.8</v>
      </c>
      <c r="H64" s="27">
        <v>0</v>
      </c>
      <c r="I64" s="27">
        <f t="shared" si="48"/>
        <v>0</v>
      </c>
      <c r="J64" s="27">
        <f t="shared" si="49"/>
        <v>0</v>
      </c>
      <c r="K64" s="27">
        <f t="shared" si="50"/>
        <v>0</v>
      </c>
      <c r="L64" s="27">
        <v>0</v>
      </c>
      <c r="M64" s="27">
        <f t="shared" si="51"/>
        <v>0</v>
      </c>
      <c r="N64" s="28" t="s">
        <v>62</v>
      </c>
      <c r="Z64" s="27">
        <f t="shared" si="52"/>
        <v>0</v>
      </c>
      <c r="AB64" s="27">
        <f t="shared" si="53"/>
        <v>0</v>
      </c>
      <c r="AC64" s="27">
        <f t="shared" si="54"/>
        <v>0</v>
      </c>
      <c r="AD64" s="27">
        <f t="shared" si="55"/>
        <v>0</v>
      </c>
      <c r="AE64" s="27">
        <f t="shared" si="56"/>
        <v>0</v>
      </c>
      <c r="AF64" s="27">
        <f t="shared" si="57"/>
        <v>0</v>
      </c>
      <c r="AG64" s="27">
        <f t="shared" si="58"/>
        <v>0</v>
      </c>
      <c r="AH64" s="27">
        <f t="shared" si="59"/>
        <v>0</v>
      </c>
      <c r="AI64" s="10" t="s">
        <v>55</v>
      </c>
      <c r="AJ64" s="27">
        <f t="shared" si="60"/>
        <v>0</v>
      </c>
      <c r="AK64" s="27">
        <f t="shared" si="61"/>
        <v>0</v>
      </c>
      <c r="AL64" s="27">
        <f t="shared" si="62"/>
        <v>0</v>
      </c>
      <c r="AN64" s="27">
        <v>21</v>
      </c>
      <c r="AO64" s="27">
        <f>H64*0</f>
        <v>0</v>
      </c>
      <c r="AP64" s="27">
        <f>H64*(1-0)</f>
        <v>0</v>
      </c>
      <c r="AQ64" s="29" t="s">
        <v>68</v>
      </c>
      <c r="AV64" s="27">
        <f t="shared" si="63"/>
        <v>0</v>
      </c>
      <c r="AW64" s="27">
        <f t="shared" si="64"/>
        <v>0</v>
      </c>
      <c r="AX64" s="27">
        <f t="shared" si="65"/>
        <v>0</v>
      </c>
      <c r="AY64" s="29" t="s">
        <v>209</v>
      </c>
      <c r="AZ64" s="29" t="s">
        <v>209</v>
      </c>
      <c r="BA64" s="10" t="s">
        <v>64</v>
      </c>
      <c r="BC64" s="27">
        <f t="shared" si="66"/>
        <v>0</v>
      </c>
      <c r="BD64" s="27">
        <f t="shared" si="67"/>
        <v>0</v>
      </c>
      <c r="BE64" s="27">
        <v>0</v>
      </c>
      <c r="BF64" s="27">
        <f t="shared" si="68"/>
        <v>0</v>
      </c>
      <c r="BH64" s="27">
        <f t="shared" si="69"/>
        <v>0</v>
      </c>
      <c r="BI64" s="27">
        <f t="shared" si="70"/>
        <v>0</v>
      </c>
      <c r="BJ64" s="27">
        <f t="shared" si="71"/>
        <v>0</v>
      </c>
      <c r="BK64" s="29" t="s">
        <v>65</v>
      </c>
      <c r="BL64" s="27"/>
      <c r="BW64" s="27">
        <v>21</v>
      </c>
      <c r="BX64" s="4" t="s">
        <v>215</v>
      </c>
    </row>
    <row r="65" spans="1:76">
      <c r="A65" s="2" t="s">
        <v>216</v>
      </c>
      <c r="B65" s="3" t="s">
        <v>55</v>
      </c>
      <c r="C65" s="3" t="s">
        <v>217</v>
      </c>
      <c r="D65" s="63" t="s">
        <v>218</v>
      </c>
      <c r="E65" s="64"/>
      <c r="F65" s="3" t="s">
        <v>138</v>
      </c>
      <c r="G65" s="27">
        <v>29.5</v>
      </c>
      <c r="H65" s="27">
        <v>0</v>
      </c>
      <c r="I65" s="27">
        <f t="shared" si="48"/>
        <v>0</v>
      </c>
      <c r="J65" s="27">
        <f t="shared" si="49"/>
        <v>0</v>
      </c>
      <c r="K65" s="27">
        <f t="shared" si="50"/>
        <v>0</v>
      </c>
      <c r="L65" s="27">
        <v>0.105</v>
      </c>
      <c r="M65" s="27">
        <f t="shared" si="51"/>
        <v>3.0974999999999997</v>
      </c>
      <c r="N65" s="28" t="s">
        <v>62</v>
      </c>
      <c r="Z65" s="27">
        <f t="shared" si="52"/>
        <v>0</v>
      </c>
      <c r="AB65" s="27">
        <f t="shared" si="53"/>
        <v>0</v>
      </c>
      <c r="AC65" s="27">
        <f t="shared" si="54"/>
        <v>0</v>
      </c>
      <c r="AD65" s="27">
        <f t="shared" si="55"/>
        <v>0</v>
      </c>
      <c r="AE65" s="27">
        <f t="shared" si="56"/>
        <v>0</v>
      </c>
      <c r="AF65" s="27">
        <f t="shared" si="57"/>
        <v>0</v>
      </c>
      <c r="AG65" s="27">
        <f t="shared" si="58"/>
        <v>0</v>
      </c>
      <c r="AH65" s="27">
        <f t="shared" si="59"/>
        <v>0</v>
      </c>
      <c r="AI65" s="10" t="s">
        <v>55</v>
      </c>
      <c r="AJ65" s="27">
        <f t="shared" si="60"/>
        <v>0</v>
      </c>
      <c r="AK65" s="27">
        <f t="shared" si="61"/>
        <v>0</v>
      </c>
      <c r="AL65" s="27">
        <f t="shared" si="62"/>
        <v>0</v>
      </c>
      <c r="AN65" s="27">
        <v>21</v>
      </c>
      <c r="AO65" s="27">
        <f>H65*0.618236173</f>
        <v>0</v>
      </c>
      <c r="AP65" s="27">
        <f>H65*(1-0.618236173)</f>
        <v>0</v>
      </c>
      <c r="AQ65" s="29" t="s">
        <v>68</v>
      </c>
      <c r="AV65" s="27">
        <f t="shared" si="63"/>
        <v>0</v>
      </c>
      <c r="AW65" s="27">
        <f t="shared" si="64"/>
        <v>0</v>
      </c>
      <c r="AX65" s="27">
        <f t="shared" si="65"/>
        <v>0</v>
      </c>
      <c r="AY65" s="29" t="s">
        <v>209</v>
      </c>
      <c r="AZ65" s="29" t="s">
        <v>209</v>
      </c>
      <c r="BA65" s="10" t="s">
        <v>64</v>
      </c>
      <c r="BC65" s="27">
        <f t="shared" si="66"/>
        <v>0</v>
      </c>
      <c r="BD65" s="27">
        <f t="shared" si="67"/>
        <v>0</v>
      </c>
      <c r="BE65" s="27">
        <v>0</v>
      </c>
      <c r="BF65" s="27">
        <f t="shared" si="68"/>
        <v>3.0974999999999997</v>
      </c>
      <c r="BH65" s="27">
        <f t="shared" si="69"/>
        <v>0</v>
      </c>
      <c r="BI65" s="27">
        <f t="shared" si="70"/>
        <v>0</v>
      </c>
      <c r="BJ65" s="27">
        <f t="shared" si="71"/>
        <v>0</v>
      </c>
      <c r="BK65" s="29" t="s">
        <v>65</v>
      </c>
      <c r="BL65" s="27"/>
      <c r="BW65" s="27">
        <v>21</v>
      </c>
      <c r="BX65" s="4" t="s">
        <v>218</v>
      </c>
    </row>
    <row r="66" spans="1:76">
      <c r="A66" s="2" t="s">
        <v>219</v>
      </c>
      <c r="B66" s="3" t="s">
        <v>55</v>
      </c>
      <c r="C66" s="3" t="s">
        <v>220</v>
      </c>
      <c r="D66" s="63" t="s">
        <v>221</v>
      </c>
      <c r="E66" s="64"/>
      <c r="F66" s="3" t="s">
        <v>138</v>
      </c>
      <c r="G66" s="27">
        <v>11.8</v>
      </c>
      <c r="H66" s="27">
        <v>0</v>
      </c>
      <c r="I66" s="27">
        <f t="shared" si="48"/>
        <v>0</v>
      </c>
      <c r="J66" s="27">
        <f t="shared" si="49"/>
        <v>0</v>
      </c>
      <c r="K66" s="27">
        <f t="shared" si="50"/>
        <v>0</v>
      </c>
      <c r="L66" s="27">
        <v>0.11025</v>
      </c>
      <c r="M66" s="27">
        <f t="shared" si="51"/>
        <v>1.3009500000000001</v>
      </c>
      <c r="N66" s="28" t="s">
        <v>62</v>
      </c>
      <c r="Z66" s="27">
        <f t="shared" si="52"/>
        <v>0</v>
      </c>
      <c r="AB66" s="27">
        <f t="shared" si="53"/>
        <v>0</v>
      </c>
      <c r="AC66" s="27">
        <f t="shared" si="54"/>
        <v>0</v>
      </c>
      <c r="AD66" s="27">
        <f t="shared" si="55"/>
        <v>0</v>
      </c>
      <c r="AE66" s="27">
        <f t="shared" si="56"/>
        <v>0</v>
      </c>
      <c r="AF66" s="27">
        <f t="shared" si="57"/>
        <v>0</v>
      </c>
      <c r="AG66" s="27">
        <f t="shared" si="58"/>
        <v>0</v>
      </c>
      <c r="AH66" s="27">
        <f t="shared" si="59"/>
        <v>0</v>
      </c>
      <c r="AI66" s="10" t="s">
        <v>55</v>
      </c>
      <c r="AJ66" s="27">
        <f t="shared" si="60"/>
        <v>0</v>
      </c>
      <c r="AK66" s="27">
        <f t="shared" si="61"/>
        <v>0</v>
      </c>
      <c r="AL66" s="27">
        <f t="shared" si="62"/>
        <v>0</v>
      </c>
      <c r="AN66" s="27">
        <v>21</v>
      </c>
      <c r="AO66" s="27">
        <f>H66*0.57880226</f>
        <v>0</v>
      </c>
      <c r="AP66" s="27">
        <f>H66*(1-0.57880226)</f>
        <v>0</v>
      </c>
      <c r="AQ66" s="29" t="s">
        <v>68</v>
      </c>
      <c r="AV66" s="27">
        <f t="shared" si="63"/>
        <v>0</v>
      </c>
      <c r="AW66" s="27">
        <f t="shared" si="64"/>
        <v>0</v>
      </c>
      <c r="AX66" s="27">
        <f t="shared" si="65"/>
        <v>0</v>
      </c>
      <c r="AY66" s="29" t="s">
        <v>209</v>
      </c>
      <c r="AZ66" s="29" t="s">
        <v>209</v>
      </c>
      <c r="BA66" s="10" t="s">
        <v>64</v>
      </c>
      <c r="BC66" s="27">
        <f t="shared" si="66"/>
        <v>0</v>
      </c>
      <c r="BD66" s="27">
        <f t="shared" si="67"/>
        <v>0</v>
      </c>
      <c r="BE66" s="27">
        <v>0</v>
      </c>
      <c r="BF66" s="27">
        <f t="shared" si="68"/>
        <v>1.3009500000000001</v>
      </c>
      <c r="BH66" s="27">
        <f t="shared" si="69"/>
        <v>0</v>
      </c>
      <c r="BI66" s="27">
        <f t="shared" si="70"/>
        <v>0</v>
      </c>
      <c r="BJ66" s="27">
        <f t="shared" si="71"/>
        <v>0</v>
      </c>
      <c r="BK66" s="29" t="s">
        <v>65</v>
      </c>
      <c r="BL66" s="27"/>
      <c r="BW66" s="27">
        <v>21</v>
      </c>
      <c r="BX66" s="4" t="s">
        <v>221</v>
      </c>
    </row>
    <row r="67" spans="1:76">
      <c r="A67" s="2" t="s">
        <v>222</v>
      </c>
      <c r="B67" s="3" t="s">
        <v>55</v>
      </c>
      <c r="C67" s="3" t="s">
        <v>223</v>
      </c>
      <c r="D67" s="63" t="s">
        <v>224</v>
      </c>
      <c r="E67" s="64"/>
      <c r="F67" s="3" t="s">
        <v>138</v>
      </c>
      <c r="G67" s="27">
        <v>29.5</v>
      </c>
      <c r="H67" s="27">
        <v>0</v>
      </c>
      <c r="I67" s="27">
        <f t="shared" si="48"/>
        <v>0</v>
      </c>
      <c r="J67" s="27">
        <f t="shared" si="49"/>
        <v>0</v>
      </c>
      <c r="K67" s="27">
        <f t="shared" si="50"/>
        <v>0</v>
      </c>
      <c r="L67" s="27">
        <v>6.0000000000000002E-5</v>
      </c>
      <c r="M67" s="27">
        <f t="shared" si="51"/>
        <v>1.7700000000000001E-3</v>
      </c>
      <c r="N67" s="28" t="s">
        <v>62</v>
      </c>
      <c r="Z67" s="27">
        <f t="shared" si="52"/>
        <v>0</v>
      </c>
      <c r="AB67" s="27">
        <f t="shared" si="53"/>
        <v>0</v>
      </c>
      <c r="AC67" s="27">
        <f t="shared" si="54"/>
        <v>0</v>
      </c>
      <c r="AD67" s="27">
        <f t="shared" si="55"/>
        <v>0</v>
      </c>
      <c r="AE67" s="27">
        <f t="shared" si="56"/>
        <v>0</v>
      </c>
      <c r="AF67" s="27">
        <f t="shared" si="57"/>
        <v>0</v>
      </c>
      <c r="AG67" s="27">
        <f t="shared" si="58"/>
        <v>0</v>
      </c>
      <c r="AH67" s="27">
        <f t="shared" si="59"/>
        <v>0</v>
      </c>
      <c r="AI67" s="10" t="s">
        <v>55</v>
      </c>
      <c r="AJ67" s="27">
        <f t="shared" si="60"/>
        <v>0</v>
      </c>
      <c r="AK67" s="27">
        <f t="shared" si="61"/>
        <v>0</v>
      </c>
      <c r="AL67" s="27">
        <f t="shared" si="62"/>
        <v>0</v>
      </c>
      <c r="AN67" s="27">
        <v>21</v>
      </c>
      <c r="AO67" s="27">
        <f>H67*0.427419958</f>
        <v>0</v>
      </c>
      <c r="AP67" s="27">
        <f>H67*(1-0.427419958)</f>
        <v>0</v>
      </c>
      <c r="AQ67" s="29" t="s">
        <v>68</v>
      </c>
      <c r="AV67" s="27">
        <f t="shared" si="63"/>
        <v>0</v>
      </c>
      <c r="AW67" s="27">
        <f t="shared" si="64"/>
        <v>0</v>
      </c>
      <c r="AX67" s="27">
        <f t="shared" si="65"/>
        <v>0</v>
      </c>
      <c r="AY67" s="29" t="s">
        <v>209</v>
      </c>
      <c r="AZ67" s="29" t="s">
        <v>209</v>
      </c>
      <c r="BA67" s="10" t="s">
        <v>64</v>
      </c>
      <c r="BC67" s="27">
        <f t="shared" si="66"/>
        <v>0</v>
      </c>
      <c r="BD67" s="27">
        <f t="shared" si="67"/>
        <v>0</v>
      </c>
      <c r="BE67" s="27">
        <v>0</v>
      </c>
      <c r="BF67" s="27">
        <f t="shared" si="68"/>
        <v>1.7700000000000001E-3</v>
      </c>
      <c r="BH67" s="27">
        <f t="shared" si="69"/>
        <v>0</v>
      </c>
      <c r="BI67" s="27">
        <f t="shared" si="70"/>
        <v>0</v>
      </c>
      <c r="BJ67" s="27">
        <f t="shared" si="71"/>
        <v>0</v>
      </c>
      <c r="BK67" s="29" t="s">
        <v>65</v>
      </c>
      <c r="BL67" s="27"/>
      <c r="BW67" s="27">
        <v>21</v>
      </c>
      <c r="BX67" s="4" t="s">
        <v>224</v>
      </c>
    </row>
    <row r="68" spans="1:76">
      <c r="A68" s="2" t="s">
        <v>225</v>
      </c>
      <c r="B68" s="3" t="s">
        <v>55</v>
      </c>
      <c r="C68" s="3" t="s">
        <v>226</v>
      </c>
      <c r="D68" s="63" t="s">
        <v>227</v>
      </c>
      <c r="E68" s="64"/>
      <c r="F68" s="3" t="s">
        <v>138</v>
      </c>
      <c r="G68" s="27">
        <v>11.8</v>
      </c>
      <c r="H68" s="27">
        <v>0</v>
      </c>
      <c r="I68" s="27">
        <f t="shared" si="48"/>
        <v>0</v>
      </c>
      <c r="J68" s="27">
        <f t="shared" si="49"/>
        <v>0</v>
      </c>
      <c r="K68" s="27">
        <f t="shared" si="50"/>
        <v>0</v>
      </c>
      <c r="L68" s="27">
        <v>6.0000000000000002E-5</v>
      </c>
      <c r="M68" s="27">
        <f t="shared" si="51"/>
        <v>7.0800000000000008E-4</v>
      </c>
      <c r="N68" s="28" t="s">
        <v>62</v>
      </c>
      <c r="Z68" s="27">
        <f t="shared" si="52"/>
        <v>0</v>
      </c>
      <c r="AB68" s="27">
        <f t="shared" si="53"/>
        <v>0</v>
      </c>
      <c r="AC68" s="27">
        <f t="shared" si="54"/>
        <v>0</v>
      </c>
      <c r="AD68" s="27">
        <f t="shared" si="55"/>
        <v>0</v>
      </c>
      <c r="AE68" s="27">
        <f t="shared" si="56"/>
        <v>0</v>
      </c>
      <c r="AF68" s="27">
        <f t="shared" si="57"/>
        <v>0</v>
      </c>
      <c r="AG68" s="27">
        <f t="shared" si="58"/>
        <v>0</v>
      </c>
      <c r="AH68" s="27">
        <f t="shared" si="59"/>
        <v>0</v>
      </c>
      <c r="AI68" s="10" t="s">
        <v>55</v>
      </c>
      <c r="AJ68" s="27">
        <f t="shared" si="60"/>
        <v>0</v>
      </c>
      <c r="AK68" s="27">
        <f t="shared" si="61"/>
        <v>0</v>
      </c>
      <c r="AL68" s="27">
        <f t="shared" si="62"/>
        <v>0</v>
      </c>
      <c r="AN68" s="27">
        <v>21</v>
      </c>
      <c r="AO68" s="27">
        <f>H68*0.427401271</f>
        <v>0</v>
      </c>
      <c r="AP68" s="27">
        <f>H68*(1-0.427401271)</f>
        <v>0</v>
      </c>
      <c r="AQ68" s="29" t="s">
        <v>68</v>
      </c>
      <c r="AV68" s="27">
        <f t="shared" si="63"/>
        <v>0</v>
      </c>
      <c r="AW68" s="27">
        <f t="shared" si="64"/>
        <v>0</v>
      </c>
      <c r="AX68" s="27">
        <f t="shared" si="65"/>
        <v>0</v>
      </c>
      <c r="AY68" s="29" t="s">
        <v>209</v>
      </c>
      <c r="AZ68" s="29" t="s">
        <v>209</v>
      </c>
      <c r="BA68" s="10" t="s">
        <v>64</v>
      </c>
      <c r="BC68" s="27">
        <f t="shared" si="66"/>
        <v>0</v>
      </c>
      <c r="BD68" s="27">
        <f t="shared" si="67"/>
        <v>0</v>
      </c>
      <c r="BE68" s="27">
        <v>0</v>
      </c>
      <c r="BF68" s="27">
        <f t="shared" si="68"/>
        <v>7.0800000000000008E-4</v>
      </c>
      <c r="BH68" s="27">
        <f t="shared" si="69"/>
        <v>0</v>
      </c>
      <c r="BI68" s="27">
        <f t="shared" si="70"/>
        <v>0</v>
      </c>
      <c r="BJ68" s="27">
        <f t="shared" si="71"/>
        <v>0</v>
      </c>
      <c r="BK68" s="29" t="s">
        <v>65</v>
      </c>
      <c r="BL68" s="27"/>
      <c r="BW68" s="27">
        <v>21</v>
      </c>
      <c r="BX68" s="4" t="s">
        <v>227</v>
      </c>
    </row>
    <row r="69" spans="1:76">
      <c r="A69" s="2" t="s">
        <v>228</v>
      </c>
      <c r="B69" s="3" t="s">
        <v>55</v>
      </c>
      <c r="C69" s="3" t="s">
        <v>229</v>
      </c>
      <c r="D69" s="63" t="s">
        <v>230</v>
      </c>
      <c r="E69" s="64"/>
      <c r="F69" s="3" t="s">
        <v>138</v>
      </c>
      <c r="G69" s="27">
        <v>29.5</v>
      </c>
      <c r="H69" s="27">
        <v>0</v>
      </c>
      <c r="I69" s="27">
        <f t="shared" si="48"/>
        <v>0</v>
      </c>
      <c r="J69" s="27">
        <f t="shared" si="49"/>
        <v>0</v>
      </c>
      <c r="K69" s="27">
        <f t="shared" si="50"/>
        <v>0</v>
      </c>
      <c r="L69" s="27">
        <v>0</v>
      </c>
      <c r="M69" s="27">
        <f t="shared" si="51"/>
        <v>0</v>
      </c>
      <c r="N69" s="28" t="s">
        <v>62</v>
      </c>
      <c r="Z69" s="27">
        <f t="shared" si="52"/>
        <v>0</v>
      </c>
      <c r="AB69" s="27">
        <f t="shared" si="53"/>
        <v>0</v>
      </c>
      <c r="AC69" s="27">
        <f t="shared" si="54"/>
        <v>0</v>
      </c>
      <c r="AD69" s="27">
        <f t="shared" si="55"/>
        <v>0</v>
      </c>
      <c r="AE69" s="27">
        <f t="shared" si="56"/>
        <v>0</v>
      </c>
      <c r="AF69" s="27">
        <f t="shared" si="57"/>
        <v>0</v>
      </c>
      <c r="AG69" s="27">
        <f t="shared" si="58"/>
        <v>0</v>
      </c>
      <c r="AH69" s="27">
        <f t="shared" si="59"/>
        <v>0</v>
      </c>
      <c r="AI69" s="10" t="s">
        <v>55</v>
      </c>
      <c r="AJ69" s="27">
        <f t="shared" si="60"/>
        <v>0</v>
      </c>
      <c r="AK69" s="27">
        <f t="shared" si="61"/>
        <v>0</v>
      </c>
      <c r="AL69" s="27">
        <f t="shared" si="62"/>
        <v>0</v>
      </c>
      <c r="AN69" s="27">
        <v>21</v>
      </c>
      <c r="AO69" s="27">
        <f>H69*0</f>
        <v>0</v>
      </c>
      <c r="AP69" s="27">
        <f>H69*(1-0)</f>
        <v>0</v>
      </c>
      <c r="AQ69" s="29" t="s">
        <v>68</v>
      </c>
      <c r="AV69" s="27">
        <f t="shared" si="63"/>
        <v>0</v>
      </c>
      <c r="AW69" s="27">
        <f t="shared" si="64"/>
        <v>0</v>
      </c>
      <c r="AX69" s="27">
        <f t="shared" si="65"/>
        <v>0</v>
      </c>
      <c r="AY69" s="29" t="s">
        <v>209</v>
      </c>
      <c r="AZ69" s="29" t="s">
        <v>209</v>
      </c>
      <c r="BA69" s="10" t="s">
        <v>64</v>
      </c>
      <c r="BC69" s="27">
        <f t="shared" si="66"/>
        <v>0</v>
      </c>
      <c r="BD69" s="27">
        <f t="shared" si="67"/>
        <v>0</v>
      </c>
      <c r="BE69" s="27">
        <v>0</v>
      </c>
      <c r="BF69" s="27">
        <f t="shared" si="68"/>
        <v>0</v>
      </c>
      <c r="BH69" s="27">
        <f t="shared" si="69"/>
        <v>0</v>
      </c>
      <c r="BI69" s="27">
        <f t="shared" si="70"/>
        <v>0</v>
      </c>
      <c r="BJ69" s="27">
        <f t="shared" si="71"/>
        <v>0</v>
      </c>
      <c r="BK69" s="29" t="s">
        <v>65</v>
      </c>
      <c r="BL69" s="27"/>
      <c r="BW69" s="27">
        <v>21</v>
      </c>
      <c r="BX69" s="4" t="s">
        <v>230</v>
      </c>
    </row>
    <row r="70" spans="1:76">
      <c r="A70" s="2" t="s">
        <v>231</v>
      </c>
      <c r="B70" s="3" t="s">
        <v>55</v>
      </c>
      <c r="C70" s="3" t="s">
        <v>232</v>
      </c>
      <c r="D70" s="63" t="s">
        <v>233</v>
      </c>
      <c r="E70" s="64"/>
      <c r="F70" s="3" t="s">
        <v>138</v>
      </c>
      <c r="G70" s="27">
        <v>11.8</v>
      </c>
      <c r="H70" s="27">
        <v>0</v>
      </c>
      <c r="I70" s="27">
        <f t="shared" si="48"/>
        <v>0</v>
      </c>
      <c r="J70" s="27">
        <f t="shared" si="49"/>
        <v>0</v>
      </c>
      <c r="K70" s="27">
        <f t="shared" si="50"/>
        <v>0</v>
      </c>
      <c r="L70" s="27">
        <v>0</v>
      </c>
      <c r="M70" s="27">
        <f t="shared" si="51"/>
        <v>0</v>
      </c>
      <c r="N70" s="28" t="s">
        <v>62</v>
      </c>
      <c r="Z70" s="27">
        <f t="shared" si="52"/>
        <v>0</v>
      </c>
      <c r="AB70" s="27">
        <f t="shared" si="53"/>
        <v>0</v>
      </c>
      <c r="AC70" s="27">
        <f t="shared" si="54"/>
        <v>0</v>
      </c>
      <c r="AD70" s="27">
        <f t="shared" si="55"/>
        <v>0</v>
      </c>
      <c r="AE70" s="27">
        <f t="shared" si="56"/>
        <v>0</v>
      </c>
      <c r="AF70" s="27">
        <f t="shared" si="57"/>
        <v>0</v>
      </c>
      <c r="AG70" s="27">
        <f t="shared" si="58"/>
        <v>0</v>
      </c>
      <c r="AH70" s="27">
        <f t="shared" si="59"/>
        <v>0</v>
      </c>
      <c r="AI70" s="10" t="s">
        <v>55</v>
      </c>
      <c r="AJ70" s="27">
        <f t="shared" si="60"/>
        <v>0</v>
      </c>
      <c r="AK70" s="27">
        <f t="shared" si="61"/>
        <v>0</v>
      </c>
      <c r="AL70" s="27">
        <f t="shared" si="62"/>
        <v>0</v>
      </c>
      <c r="AN70" s="27">
        <v>21</v>
      </c>
      <c r="AO70" s="27">
        <f>H70*0</f>
        <v>0</v>
      </c>
      <c r="AP70" s="27">
        <f>H70*(1-0)</f>
        <v>0</v>
      </c>
      <c r="AQ70" s="29" t="s">
        <v>68</v>
      </c>
      <c r="AV70" s="27">
        <f t="shared" si="63"/>
        <v>0</v>
      </c>
      <c r="AW70" s="27">
        <f t="shared" si="64"/>
        <v>0</v>
      </c>
      <c r="AX70" s="27">
        <f t="shared" si="65"/>
        <v>0</v>
      </c>
      <c r="AY70" s="29" t="s">
        <v>209</v>
      </c>
      <c r="AZ70" s="29" t="s">
        <v>209</v>
      </c>
      <c r="BA70" s="10" t="s">
        <v>64</v>
      </c>
      <c r="BC70" s="27">
        <f t="shared" si="66"/>
        <v>0</v>
      </c>
      <c r="BD70" s="27">
        <f t="shared" si="67"/>
        <v>0</v>
      </c>
      <c r="BE70" s="27">
        <v>0</v>
      </c>
      <c r="BF70" s="27">
        <f t="shared" si="68"/>
        <v>0</v>
      </c>
      <c r="BH70" s="27">
        <f t="shared" si="69"/>
        <v>0</v>
      </c>
      <c r="BI70" s="27">
        <f t="shared" si="70"/>
        <v>0</v>
      </c>
      <c r="BJ70" s="27">
        <f t="shared" si="71"/>
        <v>0</v>
      </c>
      <c r="BK70" s="29" t="s">
        <v>65</v>
      </c>
      <c r="BL70" s="27"/>
      <c r="BW70" s="27">
        <v>21</v>
      </c>
      <c r="BX70" s="4" t="s">
        <v>233</v>
      </c>
    </row>
    <row r="71" spans="1:76">
      <c r="A71" s="2" t="s">
        <v>234</v>
      </c>
      <c r="B71" s="3" t="s">
        <v>55</v>
      </c>
      <c r="C71" s="3" t="s">
        <v>235</v>
      </c>
      <c r="D71" s="63" t="s">
        <v>236</v>
      </c>
      <c r="E71" s="64"/>
      <c r="F71" s="3" t="s">
        <v>61</v>
      </c>
      <c r="G71" s="27">
        <v>2.5099999999999998</v>
      </c>
      <c r="H71" s="27">
        <v>0</v>
      </c>
      <c r="I71" s="27">
        <f t="shared" si="48"/>
        <v>0</v>
      </c>
      <c r="J71" s="27">
        <f t="shared" si="49"/>
        <v>0</v>
      </c>
      <c r="K71" s="27">
        <f t="shared" si="50"/>
        <v>0</v>
      </c>
      <c r="L71" s="27">
        <v>0</v>
      </c>
      <c r="M71" s="27">
        <f t="shared" si="51"/>
        <v>0</v>
      </c>
      <c r="N71" s="28" t="s">
        <v>62</v>
      </c>
      <c r="Z71" s="27">
        <f t="shared" si="52"/>
        <v>0</v>
      </c>
      <c r="AB71" s="27">
        <f t="shared" si="53"/>
        <v>0</v>
      </c>
      <c r="AC71" s="27">
        <f t="shared" si="54"/>
        <v>0</v>
      </c>
      <c r="AD71" s="27">
        <f t="shared" si="55"/>
        <v>0</v>
      </c>
      <c r="AE71" s="27">
        <f t="shared" si="56"/>
        <v>0</v>
      </c>
      <c r="AF71" s="27">
        <f t="shared" si="57"/>
        <v>0</v>
      </c>
      <c r="AG71" s="27">
        <f t="shared" si="58"/>
        <v>0</v>
      </c>
      <c r="AH71" s="27">
        <f t="shared" si="59"/>
        <v>0</v>
      </c>
      <c r="AI71" s="10" t="s">
        <v>55</v>
      </c>
      <c r="AJ71" s="27">
        <f t="shared" si="60"/>
        <v>0</v>
      </c>
      <c r="AK71" s="27">
        <f t="shared" si="61"/>
        <v>0</v>
      </c>
      <c r="AL71" s="27">
        <f t="shared" si="62"/>
        <v>0</v>
      </c>
      <c r="AN71" s="27">
        <v>21</v>
      </c>
      <c r="AO71" s="27">
        <f>H71*0</f>
        <v>0</v>
      </c>
      <c r="AP71" s="27">
        <f>H71*(1-0)</f>
        <v>0</v>
      </c>
      <c r="AQ71" s="29" t="s">
        <v>68</v>
      </c>
      <c r="AV71" s="27">
        <f t="shared" si="63"/>
        <v>0</v>
      </c>
      <c r="AW71" s="27">
        <f t="shared" si="64"/>
        <v>0</v>
      </c>
      <c r="AX71" s="27">
        <f t="shared" si="65"/>
        <v>0</v>
      </c>
      <c r="AY71" s="29" t="s">
        <v>209</v>
      </c>
      <c r="AZ71" s="29" t="s">
        <v>209</v>
      </c>
      <c r="BA71" s="10" t="s">
        <v>64</v>
      </c>
      <c r="BC71" s="27">
        <f t="shared" si="66"/>
        <v>0</v>
      </c>
      <c r="BD71" s="27">
        <f t="shared" si="67"/>
        <v>0</v>
      </c>
      <c r="BE71" s="27">
        <v>0</v>
      </c>
      <c r="BF71" s="27">
        <f t="shared" si="68"/>
        <v>0</v>
      </c>
      <c r="BH71" s="27">
        <f t="shared" si="69"/>
        <v>0</v>
      </c>
      <c r="BI71" s="27">
        <f t="shared" si="70"/>
        <v>0</v>
      </c>
      <c r="BJ71" s="27">
        <f t="shared" si="71"/>
        <v>0</v>
      </c>
      <c r="BK71" s="29" t="s">
        <v>65</v>
      </c>
      <c r="BL71" s="27"/>
      <c r="BW71" s="27">
        <v>21</v>
      </c>
      <c r="BX71" s="4" t="s">
        <v>236</v>
      </c>
    </row>
    <row r="72" spans="1:76">
      <c r="A72" s="2" t="s">
        <v>237</v>
      </c>
      <c r="B72" s="3" t="s">
        <v>55</v>
      </c>
      <c r="C72" s="3" t="s">
        <v>238</v>
      </c>
      <c r="D72" s="63" t="s">
        <v>239</v>
      </c>
      <c r="E72" s="64"/>
      <c r="F72" s="3" t="s">
        <v>121</v>
      </c>
      <c r="G72" s="27">
        <v>1</v>
      </c>
      <c r="H72" s="27">
        <v>0</v>
      </c>
      <c r="I72" s="27">
        <f t="shared" si="48"/>
        <v>0</v>
      </c>
      <c r="J72" s="27">
        <f t="shared" si="49"/>
        <v>0</v>
      </c>
      <c r="K72" s="27">
        <f t="shared" si="50"/>
        <v>0</v>
      </c>
      <c r="L72" s="27">
        <v>5.8199999999999997E-3</v>
      </c>
      <c r="M72" s="27">
        <f t="shared" si="51"/>
        <v>5.8199999999999997E-3</v>
      </c>
      <c r="N72" s="28" t="s">
        <v>62</v>
      </c>
      <c r="Z72" s="27">
        <f t="shared" si="52"/>
        <v>0</v>
      </c>
      <c r="AB72" s="27">
        <f t="shared" si="53"/>
        <v>0</v>
      </c>
      <c r="AC72" s="27">
        <f t="shared" si="54"/>
        <v>0</v>
      </c>
      <c r="AD72" s="27">
        <f t="shared" si="55"/>
        <v>0</v>
      </c>
      <c r="AE72" s="27">
        <f t="shared" si="56"/>
        <v>0</v>
      </c>
      <c r="AF72" s="27">
        <f t="shared" si="57"/>
        <v>0</v>
      </c>
      <c r="AG72" s="27">
        <f t="shared" si="58"/>
        <v>0</v>
      </c>
      <c r="AH72" s="27">
        <f t="shared" si="59"/>
        <v>0</v>
      </c>
      <c r="AI72" s="10" t="s">
        <v>55</v>
      </c>
      <c r="AJ72" s="27">
        <f t="shared" si="60"/>
        <v>0</v>
      </c>
      <c r="AK72" s="27">
        <f t="shared" si="61"/>
        <v>0</v>
      </c>
      <c r="AL72" s="27">
        <f t="shared" si="62"/>
        <v>0</v>
      </c>
      <c r="AN72" s="27">
        <v>21</v>
      </c>
      <c r="AO72" s="27">
        <f>H72*0.014764468</f>
        <v>0</v>
      </c>
      <c r="AP72" s="27">
        <f>H72*(1-0.014764468)</f>
        <v>0</v>
      </c>
      <c r="AQ72" s="29" t="s">
        <v>68</v>
      </c>
      <c r="AV72" s="27">
        <f t="shared" si="63"/>
        <v>0</v>
      </c>
      <c r="AW72" s="27">
        <f t="shared" si="64"/>
        <v>0</v>
      </c>
      <c r="AX72" s="27">
        <f t="shared" si="65"/>
        <v>0</v>
      </c>
      <c r="AY72" s="29" t="s">
        <v>209</v>
      </c>
      <c r="AZ72" s="29" t="s">
        <v>209</v>
      </c>
      <c r="BA72" s="10" t="s">
        <v>64</v>
      </c>
      <c r="BC72" s="27">
        <f t="shared" si="66"/>
        <v>0</v>
      </c>
      <c r="BD72" s="27">
        <f t="shared" si="67"/>
        <v>0</v>
      </c>
      <c r="BE72" s="27">
        <v>0</v>
      </c>
      <c r="BF72" s="27">
        <f t="shared" si="68"/>
        <v>5.8199999999999997E-3</v>
      </c>
      <c r="BH72" s="27">
        <f t="shared" si="69"/>
        <v>0</v>
      </c>
      <c r="BI72" s="27">
        <f t="shared" si="70"/>
        <v>0</v>
      </c>
      <c r="BJ72" s="27">
        <f t="shared" si="71"/>
        <v>0</v>
      </c>
      <c r="BK72" s="29" t="s">
        <v>65</v>
      </c>
      <c r="BL72" s="27"/>
      <c r="BW72" s="27">
        <v>21</v>
      </c>
      <c r="BX72" s="4" t="s">
        <v>239</v>
      </c>
    </row>
    <row r="73" spans="1:76">
      <c r="A73" s="30" t="s">
        <v>55</v>
      </c>
      <c r="B73" s="31" t="s">
        <v>55</v>
      </c>
      <c r="C73" s="31" t="s">
        <v>240</v>
      </c>
      <c r="D73" s="65" t="s">
        <v>241</v>
      </c>
      <c r="E73" s="66"/>
      <c r="F73" s="32" t="s">
        <v>35</v>
      </c>
      <c r="G73" s="32" t="s">
        <v>35</v>
      </c>
      <c r="H73" s="32" t="s">
        <v>35</v>
      </c>
      <c r="I73" s="1">
        <f>ROUND(SUM(I74:I74),2)</f>
        <v>0</v>
      </c>
      <c r="J73" s="1">
        <f>ROUND(SUM(J74:J74),2)</f>
        <v>0</v>
      </c>
      <c r="K73" s="1">
        <f>ROUND(SUM(K74:K74),2)</f>
        <v>0</v>
      </c>
      <c r="L73" s="10" t="s">
        <v>55</v>
      </c>
      <c r="M73" s="1">
        <f>SUM(M74:M74)</f>
        <v>0</v>
      </c>
      <c r="N73" s="33" t="s">
        <v>55</v>
      </c>
      <c r="AI73" s="10" t="s">
        <v>55</v>
      </c>
      <c r="AS73" s="1">
        <f>SUM(AJ74:AJ74)</f>
        <v>0</v>
      </c>
      <c r="AT73" s="1">
        <f>SUM(AK74:AK74)</f>
        <v>0</v>
      </c>
      <c r="AU73" s="1">
        <f>SUM(AL74:AL74)</f>
        <v>0</v>
      </c>
    </row>
    <row r="74" spans="1:76" ht="25.5">
      <c r="A74" s="2" t="s">
        <v>242</v>
      </c>
      <c r="B74" s="3" t="s">
        <v>55</v>
      </c>
      <c r="C74" s="3" t="s">
        <v>243</v>
      </c>
      <c r="D74" s="63" t="s">
        <v>244</v>
      </c>
      <c r="E74" s="64"/>
      <c r="F74" s="3" t="s">
        <v>117</v>
      </c>
      <c r="G74" s="27">
        <v>18.829999999999998</v>
      </c>
      <c r="H74" s="27">
        <v>0</v>
      </c>
      <c r="I74" s="27">
        <f>ROUND(G74*AO74,2)</f>
        <v>0</v>
      </c>
      <c r="J74" s="27">
        <f>ROUND(G74*AP74,2)</f>
        <v>0</v>
      </c>
      <c r="K74" s="27">
        <f>ROUND(G74*H74,2)</f>
        <v>0</v>
      </c>
      <c r="L74" s="27">
        <v>0</v>
      </c>
      <c r="M74" s="27">
        <f>G74*L74</f>
        <v>0</v>
      </c>
      <c r="N74" s="28" t="s">
        <v>62</v>
      </c>
      <c r="Z74" s="27">
        <f>ROUND(IF(AQ74="5",BJ74,0),2)</f>
        <v>0</v>
      </c>
      <c r="AB74" s="27">
        <f>ROUND(IF(AQ74="1",BH74,0),2)</f>
        <v>0</v>
      </c>
      <c r="AC74" s="27">
        <f>ROUND(IF(AQ74="1",BI74,0),2)</f>
        <v>0</v>
      </c>
      <c r="AD74" s="27">
        <f>ROUND(IF(AQ74="7",BH74,0),2)</f>
        <v>0</v>
      </c>
      <c r="AE74" s="27">
        <f>ROUND(IF(AQ74="7",BI74,0),2)</f>
        <v>0</v>
      </c>
      <c r="AF74" s="27">
        <f>ROUND(IF(AQ74="2",BH74,0),2)</f>
        <v>0</v>
      </c>
      <c r="AG74" s="27">
        <f>ROUND(IF(AQ74="2",BI74,0),2)</f>
        <v>0</v>
      </c>
      <c r="AH74" s="27">
        <f>ROUND(IF(AQ74="0",BJ74,0),2)</f>
        <v>0</v>
      </c>
      <c r="AI74" s="10" t="s">
        <v>55</v>
      </c>
      <c r="AJ74" s="27">
        <f>IF(AN74=0,K74,0)</f>
        <v>0</v>
      </c>
      <c r="AK74" s="27">
        <f>IF(AN74=15,K74,0)</f>
        <v>0</v>
      </c>
      <c r="AL74" s="27">
        <f>IF(AN74=21,K74,0)</f>
        <v>0</v>
      </c>
      <c r="AN74" s="27">
        <v>21</v>
      </c>
      <c r="AO74" s="27">
        <f>H74*0</f>
        <v>0</v>
      </c>
      <c r="AP74" s="27">
        <f>H74*(1-0)</f>
        <v>0</v>
      </c>
      <c r="AQ74" s="29" t="s">
        <v>77</v>
      </c>
      <c r="AV74" s="27">
        <f>ROUND(AW74+AX74,2)</f>
        <v>0</v>
      </c>
      <c r="AW74" s="27">
        <f>ROUND(G74*AO74,2)</f>
        <v>0</v>
      </c>
      <c r="AX74" s="27">
        <f>ROUND(G74*AP74,2)</f>
        <v>0</v>
      </c>
      <c r="AY74" s="29" t="s">
        <v>245</v>
      </c>
      <c r="AZ74" s="29" t="s">
        <v>245</v>
      </c>
      <c r="BA74" s="10" t="s">
        <v>64</v>
      </c>
      <c r="BC74" s="27">
        <f>AW74+AX74</f>
        <v>0</v>
      </c>
      <c r="BD74" s="27">
        <f>H74/(100-BE74)*100</f>
        <v>0</v>
      </c>
      <c r="BE74" s="27">
        <v>0</v>
      </c>
      <c r="BF74" s="27">
        <f>M74</f>
        <v>0</v>
      </c>
      <c r="BH74" s="27">
        <f>G74*AO74</f>
        <v>0</v>
      </c>
      <c r="BI74" s="27">
        <f>G74*AP74</f>
        <v>0</v>
      </c>
      <c r="BJ74" s="27">
        <f>G74*H74</f>
        <v>0</v>
      </c>
      <c r="BK74" s="29" t="s">
        <v>65</v>
      </c>
      <c r="BL74" s="27"/>
      <c r="BW74" s="27">
        <v>21</v>
      </c>
      <c r="BX74" s="4" t="s">
        <v>244</v>
      </c>
    </row>
    <row r="75" spans="1:76">
      <c r="A75" s="30" t="s">
        <v>55</v>
      </c>
      <c r="B75" s="31" t="s">
        <v>55</v>
      </c>
      <c r="C75" s="31" t="s">
        <v>246</v>
      </c>
      <c r="D75" s="65" t="s">
        <v>247</v>
      </c>
      <c r="E75" s="66"/>
      <c r="F75" s="32" t="s">
        <v>35</v>
      </c>
      <c r="G75" s="32" t="s">
        <v>35</v>
      </c>
      <c r="H75" s="32" t="s">
        <v>35</v>
      </c>
      <c r="I75" s="1">
        <f>ROUND(SUM(I76:I78),2)</f>
        <v>0</v>
      </c>
      <c r="J75" s="1">
        <f>ROUND(SUM(J76:J78),2)</f>
        <v>0</v>
      </c>
      <c r="K75" s="1">
        <f>ROUND(SUM(K76:K78),2)</f>
        <v>0</v>
      </c>
      <c r="L75" s="10" t="s">
        <v>55</v>
      </c>
      <c r="M75" s="1">
        <f>SUM(M76:M78)</f>
        <v>3.4242000000000004</v>
      </c>
      <c r="N75" s="33" t="s">
        <v>55</v>
      </c>
      <c r="AI75" s="10" t="s">
        <v>55</v>
      </c>
      <c r="AS75" s="1">
        <f>SUM(AJ76:AJ78)</f>
        <v>0</v>
      </c>
      <c r="AT75" s="1">
        <f>SUM(AK76:AK78)</f>
        <v>0</v>
      </c>
      <c r="AU75" s="1">
        <f>SUM(AL76:AL78)</f>
        <v>0</v>
      </c>
    </row>
    <row r="76" spans="1:76" ht="25.5">
      <c r="A76" s="2" t="s">
        <v>248</v>
      </c>
      <c r="B76" s="3" t="s">
        <v>55</v>
      </c>
      <c r="C76" s="3" t="s">
        <v>249</v>
      </c>
      <c r="D76" s="63" t="s">
        <v>250</v>
      </c>
      <c r="E76" s="64"/>
      <c r="F76" s="3" t="s">
        <v>138</v>
      </c>
      <c r="G76" s="27">
        <v>15</v>
      </c>
      <c r="H76" s="27">
        <v>0</v>
      </c>
      <c r="I76" s="27">
        <f>ROUND(G76*AO76,2)</f>
        <v>0</v>
      </c>
      <c r="J76" s="27">
        <f>ROUND(G76*AP76,2)</f>
        <v>0</v>
      </c>
      <c r="K76" s="27">
        <f>ROUND(G76*H76,2)</f>
        <v>0</v>
      </c>
      <c r="L76" s="27">
        <v>4.8000000000000001E-4</v>
      </c>
      <c r="M76" s="27">
        <f>G76*L76</f>
        <v>7.1999999999999998E-3</v>
      </c>
      <c r="N76" s="28" t="s">
        <v>62</v>
      </c>
      <c r="Z76" s="27">
        <f>ROUND(IF(AQ76="5",BJ76,0),2)</f>
        <v>0</v>
      </c>
      <c r="AB76" s="27">
        <f>ROUND(IF(AQ76="1",BH76,0),2)</f>
        <v>0</v>
      </c>
      <c r="AC76" s="27">
        <f>ROUND(IF(AQ76="1",BI76,0),2)</f>
        <v>0</v>
      </c>
      <c r="AD76" s="27">
        <f>ROUND(IF(AQ76="7",BH76,0),2)</f>
        <v>0</v>
      </c>
      <c r="AE76" s="27">
        <f>ROUND(IF(AQ76="7",BI76,0),2)</f>
        <v>0</v>
      </c>
      <c r="AF76" s="27">
        <f>ROUND(IF(AQ76="2",BH76,0),2)</f>
        <v>0</v>
      </c>
      <c r="AG76" s="27">
        <f>ROUND(IF(AQ76="2",BI76,0),2)</f>
        <v>0</v>
      </c>
      <c r="AH76" s="27">
        <f>ROUND(IF(AQ76="0",BJ76,0),2)</f>
        <v>0</v>
      </c>
      <c r="AI76" s="10" t="s">
        <v>55</v>
      </c>
      <c r="AJ76" s="27">
        <f>IF(AN76=0,K76,0)</f>
        <v>0</v>
      </c>
      <c r="AK76" s="27">
        <f>IF(AN76=15,K76,0)</f>
        <v>0</v>
      </c>
      <c r="AL76" s="27">
        <f>IF(AN76=21,K76,0)</f>
        <v>0</v>
      </c>
      <c r="AN76" s="27">
        <v>21</v>
      </c>
      <c r="AO76" s="27">
        <f>H76*1</f>
        <v>0</v>
      </c>
      <c r="AP76" s="27">
        <f>H76*(1-1)</f>
        <v>0</v>
      </c>
      <c r="AQ76" s="29" t="s">
        <v>251</v>
      </c>
      <c r="AV76" s="27">
        <f>ROUND(AW76+AX76,2)</f>
        <v>0</v>
      </c>
      <c r="AW76" s="27">
        <f>ROUND(G76*AO76,2)</f>
        <v>0</v>
      </c>
      <c r="AX76" s="27">
        <f>ROUND(G76*AP76,2)</f>
        <v>0</v>
      </c>
      <c r="AY76" s="29" t="s">
        <v>252</v>
      </c>
      <c r="AZ76" s="29" t="s">
        <v>253</v>
      </c>
      <c r="BA76" s="10" t="s">
        <v>64</v>
      </c>
      <c r="BC76" s="27">
        <f>AW76+AX76</f>
        <v>0</v>
      </c>
      <c r="BD76" s="27">
        <f>H76/(100-BE76)*100</f>
        <v>0</v>
      </c>
      <c r="BE76" s="27">
        <v>0</v>
      </c>
      <c r="BF76" s="27">
        <f>M76</f>
        <v>7.1999999999999998E-3</v>
      </c>
      <c r="BH76" s="27">
        <f>G76*AO76</f>
        <v>0</v>
      </c>
      <c r="BI76" s="27">
        <f>G76*AP76</f>
        <v>0</v>
      </c>
      <c r="BJ76" s="27">
        <f>G76*H76</f>
        <v>0</v>
      </c>
      <c r="BK76" s="29" t="s">
        <v>246</v>
      </c>
      <c r="BL76" s="27"/>
      <c r="BW76" s="27">
        <v>21</v>
      </c>
      <c r="BX76" s="4" t="s">
        <v>250</v>
      </c>
    </row>
    <row r="77" spans="1:76" ht="25.5">
      <c r="A77" s="2" t="s">
        <v>254</v>
      </c>
      <c r="B77" s="3" t="s">
        <v>55</v>
      </c>
      <c r="C77" s="3" t="s">
        <v>255</v>
      </c>
      <c r="D77" s="63" t="s">
        <v>256</v>
      </c>
      <c r="E77" s="64"/>
      <c r="F77" s="3" t="s">
        <v>93</v>
      </c>
      <c r="G77" s="27">
        <v>25</v>
      </c>
      <c r="H77" s="27">
        <v>0</v>
      </c>
      <c r="I77" s="27">
        <f>ROUND(G77*AO77,2)</f>
        <v>0</v>
      </c>
      <c r="J77" s="27">
        <f>ROUND(G77*AP77,2)</f>
        <v>0</v>
      </c>
      <c r="K77" s="27">
        <f>ROUND(G77*H77,2)</f>
        <v>0</v>
      </c>
      <c r="L77" s="27">
        <v>0.13100000000000001</v>
      </c>
      <c r="M77" s="27">
        <f>G77*L77</f>
        <v>3.2750000000000004</v>
      </c>
      <c r="N77" s="28" t="s">
        <v>62</v>
      </c>
      <c r="Z77" s="27">
        <f>ROUND(IF(AQ77="5",BJ77,0),2)</f>
        <v>0</v>
      </c>
      <c r="AB77" s="27">
        <f>ROUND(IF(AQ77="1",BH77,0),2)</f>
        <v>0</v>
      </c>
      <c r="AC77" s="27">
        <f>ROUND(IF(AQ77="1",BI77,0),2)</f>
        <v>0</v>
      </c>
      <c r="AD77" s="27">
        <f>ROUND(IF(AQ77="7",BH77,0),2)</f>
        <v>0</v>
      </c>
      <c r="AE77" s="27">
        <f>ROUND(IF(AQ77="7",BI77,0),2)</f>
        <v>0</v>
      </c>
      <c r="AF77" s="27">
        <f>ROUND(IF(AQ77="2",BH77,0),2)</f>
        <v>0</v>
      </c>
      <c r="AG77" s="27">
        <f>ROUND(IF(AQ77="2",BI77,0),2)</f>
        <v>0</v>
      </c>
      <c r="AH77" s="27">
        <f>ROUND(IF(AQ77="0",BJ77,0),2)</f>
        <v>0</v>
      </c>
      <c r="AI77" s="10" t="s">
        <v>55</v>
      </c>
      <c r="AJ77" s="27">
        <f>IF(AN77=0,K77,0)</f>
        <v>0</v>
      </c>
      <c r="AK77" s="27">
        <f>IF(AN77=15,K77,0)</f>
        <v>0</v>
      </c>
      <c r="AL77" s="27">
        <f>IF(AN77=21,K77,0)</f>
        <v>0</v>
      </c>
      <c r="AN77" s="27">
        <v>21</v>
      </c>
      <c r="AO77" s="27">
        <f>H77*1</f>
        <v>0</v>
      </c>
      <c r="AP77" s="27">
        <f>H77*(1-1)</f>
        <v>0</v>
      </c>
      <c r="AQ77" s="29" t="s">
        <v>251</v>
      </c>
      <c r="AV77" s="27">
        <f>ROUND(AW77+AX77,2)</f>
        <v>0</v>
      </c>
      <c r="AW77" s="27">
        <f>ROUND(G77*AO77,2)</f>
        <v>0</v>
      </c>
      <c r="AX77" s="27">
        <f>ROUND(G77*AP77,2)</f>
        <v>0</v>
      </c>
      <c r="AY77" s="29" t="s">
        <v>252</v>
      </c>
      <c r="AZ77" s="29" t="s">
        <v>253</v>
      </c>
      <c r="BA77" s="10" t="s">
        <v>64</v>
      </c>
      <c r="BC77" s="27">
        <f>AW77+AX77</f>
        <v>0</v>
      </c>
      <c r="BD77" s="27">
        <f>H77/(100-BE77)*100</f>
        <v>0</v>
      </c>
      <c r="BE77" s="27">
        <v>0</v>
      </c>
      <c r="BF77" s="27">
        <f>M77</f>
        <v>3.2750000000000004</v>
      </c>
      <c r="BH77" s="27">
        <f>G77*AO77</f>
        <v>0</v>
      </c>
      <c r="BI77" s="27">
        <f>G77*AP77</f>
        <v>0</v>
      </c>
      <c r="BJ77" s="27">
        <f>G77*H77</f>
        <v>0</v>
      </c>
      <c r="BK77" s="29" t="s">
        <v>246</v>
      </c>
      <c r="BL77" s="27"/>
      <c r="BW77" s="27">
        <v>21</v>
      </c>
      <c r="BX77" s="4" t="s">
        <v>256</v>
      </c>
    </row>
    <row r="78" spans="1:76">
      <c r="A78" s="34" t="s">
        <v>257</v>
      </c>
      <c r="B78" s="35" t="s">
        <v>55</v>
      </c>
      <c r="C78" s="35" t="s">
        <v>258</v>
      </c>
      <c r="D78" s="67" t="s">
        <v>259</v>
      </c>
      <c r="E78" s="68"/>
      <c r="F78" s="35" t="s">
        <v>121</v>
      </c>
      <c r="G78" s="36">
        <v>20</v>
      </c>
      <c r="H78" s="36">
        <v>0</v>
      </c>
      <c r="I78" s="36">
        <f>ROUND(G78*AO78,2)</f>
        <v>0</v>
      </c>
      <c r="J78" s="36">
        <f>ROUND(G78*AP78,2)</f>
        <v>0</v>
      </c>
      <c r="K78" s="36">
        <f>ROUND(G78*H78,2)</f>
        <v>0</v>
      </c>
      <c r="L78" s="36">
        <v>7.1000000000000004E-3</v>
      </c>
      <c r="M78" s="36">
        <f>G78*L78</f>
        <v>0.14200000000000002</v>
      </c>
      <c r="N78" s="37" t="s">
        <v>62</v>
      </c>
      <c r="Z78" s="27">
        <f>ROUND(IF(AQ78="5",BJ78,0),2)</f>
        <v>0</v>
      </c>
      <c r="AB78" s="27">
        <f>ROUND(IF(AQ78="1",BH78,0),2)</f>
        <v>0</v>
      </c>
      <c r="AC78" s="27">
        <f>ROUND(IF(AQ78="1",BI78,0),2)</f>
        <v>0</v>
      </c>
      <c r="AD78" s="27">
        <f>ROUND(IF(AQ78="7",BH78,0),2)</f>
        <v>0</v>
      </c>
      <c r="AE78" s="27">
        <f>ROUND(IF(AQ78="7",BI78,0),2)</f>
        <v>0</v>
      </c>
      <c r="AF78" s="27">
        <f>ROUND(IF(AQ78="2",BH78,0),2)</f>
        <v>0</v>
      </c>
      <c r="AG78" s="27">
        <f>ROUND(IF(AQ78="2",BI78,0),2)</f>
        <v>0</v>
      </c>
      <c r="AH78" s="27">
        <f>ROUND(IF(AQ78="0",BJ78,0),2)</f>
        <v>0</v>
      </c>
      <c r="AI78" s="10" t="s">
        <v>55</v>
      </c>
      <c r="AJ78" s="27">
        <f>IF(AN78=0,K78,0)</f>
        <v>0</v>
      </c>
      <c r="AK78" s="27">
        <f>IF(AN78=15,K78,0)</f>
        <v>0</v>
      </c>
      <c r="AL78" s="27">
        <f>IF(AN78=21,K78,0)</f>
        <v>0</v>
      </c>
      <c r="AN78" s="27">
        <v>21</v>
      </c>
      <c r="AO78" s="27">
        <f>H78*1</f>
        <v>0</v>
      </c>
      <c r="AP78" s="27">
        <f>H78*(1-1)</f>
        <v>0</v>
      </c>
      <c r="AQ78" s="29" t="s">
        <v>251</v>
      </c>
      <c r="AV78" s="27">
        <f>ROUND(AW78+AX78,2)</f>
        <v>0</v>
      </c>
      <c r="AW78" s="27">
        <f>ROUND(G78*AO78,2)</f>
        <v>0</v>
      </c>
      <c r="AX78" s="27">
        <f>ROUND(G78*AP78,2)</f>
        <v>0</v>
      </c>
      <c r="AY78" s="29" t="s">
        <v>252</v>
      </c>
      <c r="AZ78" s="29" t="s">
        <v>253</v>
      </c>
      <c r="BA78" s="10" t="s">
        <v>64</v>
      </c>
      <c r="BC78" s="27">
        <f>AW78+AX78</f>
        <v>0</v>
      </c>
      <c r="BD78" s="27">
        <f>H78/(100-BE78)*100</f>
        <v>0</v>
      </c>
      <c r="BE78" s="27">
        <v>0</v>
      </c>
      <c r="BF78" s="27">
        <f>M78</f>
        <v>0.14200000000000002</v>
      </c>
      <c r="BH78" s="27">
        <f>G78*AO78</f>
        <v>0</v>
      </c>
      <c r="BI78" s="27">
        <f>G78*AP78</f>
        <v>0</v>
      </c>
      <c r="BJ78" s="27">
        <f>G78*H78</f>
        <v>0</v>
      </c>
      <c r="BK78" s="29" t="s">
        <v>246</v>
      </c>
      <c r="BL78" s="27"/>
      <c r="BW78" s="27">
        <v>21</v>
      </c>
      <c r="BX78" s="4" t="s">
        <v>259</v>
      </c>
    </row>
    <row r="79" spans="1:76">
      <c r="I79" s="62" t="s">
        <v>260</v>
      </c>
      <c r="J79" s="62"/>
      <c r="K79" s="38">
        <f>ROUND(SUM(K12,K14,K19,K22,K24,K29,K33,K36,K39,K46,K48,K50,K52,K54,K61,K73,K75),2)</f>
        <v>0</v>
      </c>
    </row>
    <row r="80" spans="1:76">
      <c r="A80" s="39" t="s">
        <v>261</v>
      </c>
    </row>
    <row r="81" spans="1:14" ht="12.75" customHeight="1">
      <c r="A81" s="63" t="s">
        <v>55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</row>
  </sheetData>
  <mergeCells count="98">
    <mergeCell ref="A1:N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N3"/>
    <mergeCell ref="J4:N5"/>
    <mergeCell ref="J6:N7"/>
    <mergeCell ref="J8:N9"/>
    <mergeCell ref="D10:E10"/>
    <mergeCell ref="D8:E9"/>
    <mergeCell ref="H2:H3"/>
    <mergeCell ref="H4:H5"/>
    <mergeCell ref="H6:H7"/>
    <mergeCell ref="H8:H9"/>
    <mergeCell ref="D11:E11"/>
    <mergeCell ref="I10:K10"/>
    <mergeCell ref="L10:M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I79:J79"/>
    <mergeCell ref="A81:N81"/>
    <mergeCell ref="D74:E74"/>
    <mergeCell ref="D75:E75"/>
    <mergeCell ref="D76:E76"/>
    <mergeCell ref="D77:E77"/>
    <mergeCell ref="D78:E78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abSelected="1" workbookViewId="0">
      <selection activeCell="K20" sqref="K20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130" t="s">
        <v>262</v>
      </c>
      <c r="B1" s="85"/>
      <c r="C1" s="85"/>
      <c r="D1" s="85"/>
      <c r="E1" s="85"/>
      <c r="F1" s="85"/>
      <c r="G1" s="85"/>
      <c r="H1" s="85"/>
      <c r="I1" s="85"/>
    </row>
    <row r="2" spans="1:9">
      <c r="A2" s="86" t="s">
        <v>1</v>
      </c>
      <c r="B2" s="78"/>
      <c r="C2" s="91" t="str">
        <f>'Stavební rozpočet'!D2</f>
        <v>Nafukovací hala Dobříš</v>
      </c>
      <c r="D2" s="92"/>
      <c r="E2" s="90" t="s">
        <v>5</v>
      </c>
      <c r="F2" s="90" t="str">
        <f>'Stavební rozpočet'!J2</f>
        <v>Město Dobříš</v>
      </c>
      <c r="G2" s="78"/>
      <c r="H2" s="90" t="s">
        <v>263</v>
      </c>
      <c r="I2" s="79" t="s">
        <v>55</v>
      </c>
    </row>
    <row r="3" spans="1:9" ht="15" customHeight="1">
      <c r="A3" s="87"/>
      <c r="B3" s="64"/>
      <c r="C3" s="93"/>
      <c r="D3" s="93"/>
      <c r="E3" s="64"/>
      <c r="F3" s="64"/>
      <c r="G3" s="64"/>
      <c r="H3" s="64"/>
      <c r="I3" s="80"/>
    </row>
    <row r="4" spans="1:9">
      <c r="A4" s="88" t="s">
        <v>6</v>
      </c>
      <c r="B4" s="64"/>
      <c r="C4" s="63" t="str">
        <f>'Stavební rozpočet'!D4</f>
        <v>Stavební objekty pro nafukovací halu</v>
      </c>
      <c r="D4" s="64"/>
      <c r="E4" s="63" t="s">
        <v>10</v>
      </c>
      <c r="F4" s="63" t="str">
        <f>'Stavební rozpočet'!J4</f>
        <v>Josef Šimonovský</v>
      </c>
      <c r="G4" s="64"/>
      <c r="H4" s="63" t="s">
        <v>263</v>
      </c>
      <c r="I4" s="80" t="s">
        <v>55</v>
      </c>
    </row>
    <row r="5" spans="1:9" ht="15" customHeight="1">
      <c r="A5" s="87"/>
      <c r="B5" s="64"/>
      <c r="C5" s="64"/>
      <c r="D5" s="64"/>
      <c r="E5" s="64"/>
      <c r="F5" s="64"/>
      <c r="G5" s="64"/>
      <c r="H5" s="64"/>
      <c r="I5" s="80"/>
    </row>
    <row r="6" spans="1:9">
      <c r="A6" s="88" t="s">
        <v>11</v>
      </c>
      <c r="B6" s="64"/>
      <c r="C6" s="63" t="str">
        <f>'Stavební rozpočet'!D6</f>
        <v>k. ú. Dobříš, p.č. 353/10, 353/50</v>
      </c>
      <c r="D6" s="64"/>
      <c r="E6" s="63" t="s">
        <v>15</v>
      </c>
      <c r="F6" s="63" t="str">
        <f>'Stavební rozpočet'!J6</f>
        <v>výběrové řízení</v>
      </c>
      <c r="G6" s="64"/>
      <c r="H6" s="63" t="s">
        <v>263</v>
      </c>
      <c r="I6" s="80" t="s">
        <v>55</v>
      </c>
    </row>
    <row r="7" spans="1:9" ht="15" customHeight="1">
      <c r="A7" s="87"/>
      <c r="B7" s="64"/>
      <c r="C7" s="64"/>
      <c r="D7" s="64"/>
      <c r="E7" s="64"/>
      <c r="F7" s="64"/>
      <c r="G7" s="64"/>
      <c r="H7" s="64"/>
      <c r="I7" s="80"/>
    </row>
    <row r="8" spans="1:9">
      <c r="A8" s="88" t="s">
        <v>8</v>
      </c>
      <c r="B8" s="64"/>
      <c r="C8" s="63" t="str">
        <f>'Stavební rozpočet'!H4</f>
        <v>01.07.2026</v>
      </c>
      <c r="D8" s="64"/>
      <c r="E8" s="63" t="s">
        <v>13</v>
      </c>
      <c r="F8" s="63" t="str">
        <f>'Stavební rozpočet'!H6</f>
        <v>31.07.2026</v>
      </c>
      <c r="G8" s="64"/>
      <c r="H8" s="64" t="s">
        <v>264</v>
      </c>
      <c r="I8" s="131">
        <v>50</v>
      </c>
    </row>
    <row r="9" spans="1:9">
      <c r="A9" s="87"/>
      <c r="B9" s="64"/>
      <c r="C9" s="64"/>
      <c r="D9" s="64"/>
      <c r="E9" s="64"/>
      <c r="F9" s="64"/>
      <c r="G9" s="64"/>
      <c r="H9" s="64"/>
      <c r="I9" s="80"/>
    </row>
    <row r="10" spans="1:9">
      <c r="A10" s="88" t="s">
        <v>16</v>
      </c>
      <c r="B10" s="64"/>
      <c r="C10" s="63" t="str">
        <f>'Stavební rozpočet'!D8</f>
        <v>8022191</v>
      </c>
      <c r="D10" s="64"/>
      <c r="E10" s="63" t="s">
        <v>20</v>
      </c>
      <c r="F10" s="63" t="str">
        <f>'Stavební rozpočet'!J8</f>
        <v>J. Šimonovský, 0000883</v>
      </c>
      <c r="G10" s="64"/>
      <c r="H10" s="64" t="s">
        <v>265</v>
      </c>
      <c r="I10" s="124" t="str">
        <f>'Stavební rozpočet'!H8</f>
        <v>05.03.2026</v>
      </c>
    </row>
    <row r="11" spans="1:9">
      <c r="A11" s="129"/>
      <c r="B11" s="68"/>
      <c r="C11" s="68"/>
      <c r="D11" s="68"/>
      <c r="E11" s="68"/>
      <c r="F11" s="68"/>
      <c r="G11" s="68"/>
      <c r="H11" s="68"/>
      <c r="I11" s="125"/>
    </row>
    <row r="12" spans="1:9" ht="23.25">
      <c r="A12" s="126" t="s">
        <v>266</v>
      </c>
      <c r="B12" s="126"/>
      <c r="C12" s="126"/>
      <c r="D12" s="126"/>
      <c r="E12" s="126"/>
      <c r="F12" s="126"/>
      <c r="G12" s="126"/>
      <c r="H12" s="126"/>
      <c r="I12" s="126"/>
    </row>
    <row r="13" spans="1:9" ht="26.25" customHeight="1">
      <c r="A13" s="40" t="s">
        <v>267</v>
      </c>
      <c r="B13" s="127" t="s">
        <v>268</v>
      </c>
      <c r="C13" s="128"/>
      <c r="D13" s="41" t="s">
        <v>269</v>
      </c>
      <c r="E13" s="127" t="s">
        <v>270</v>
      </c>
      <c r="F13" s="128"/>
      <c r="G13" s="41" t="s">
        <v>271</v>
      </c>
      <c r="H13" s="127" t="s">
        <v>272</v>
      </c>
      <c r="I13" s="128"/>
    </row>
    <row r="14" spans="1:9" ht="15.75">
      <c r="A14" s="42" t="s">
        <v>273</v>
      </c>
      <c r="B14" s="43" t="s">
        <v>274</v>
      </c>
      <c r="C14" s="44">
        <f>SUM('Stavební rozpočet'!AB12:AB156)</f>
        <v>0</v>
      </c>
      <c r="D14" s="114" t="s">
        <v>275</v>
      </c>
      <c r="E14" s="115"/>
      <c r="F14" s="44">
        <f>VORN!I15</f>
        <v>0</v>
      </c>
      <c r="G14" s="114" t="s">
        <v>276</v>
      </c>
      <c r="H14" s="115"/>
      <c r="I14" s="44">
        <f>VORN!I21</f>
        <v>0</v>
      </c>
    </row>
    <row r="15" spans="1:9" ht="15.75">
      <c r="A15" s="45" t="s">
        <v>55</v>
      </c>
      <c r="B15" s="43" t="s">
        <v>39</v>
      </c>
      <c r="C15" s="44">
        <f>SUM('Stavební rozpočet'!AC12:AC156)</f>
        <v>0</v>
      </c>
      <c r="D15" s="114" t="s">
        <v>277</v>
      </c>
      <c r="E15" s="115"/>
      <c r="F15" s="44">
        <f>VORN!I16</f>
        <v>0</v>
      </c>
      <c r="G15" s="114" t="s">
        <v>278</v>
      </c>
      <c r="H15" s="115"/>
      <c r="I15" s="44">
        <v>0</v>
      </c>
    </row>
    <row r="16" spans="1:9" ht="15.75">
      <c r="A16" s="42" t="s">
        <v>279</v>
      </c>
      <c r="B16" s="43" t="s">
        <v>274</v>
      </c>
      <c r="C16" s="44">
        <f>SUM('Stavební rozpočet'!AD12:AD156)</f>
        <v>0</v>
      </c>
      <c r="D16" s="114" t="s">
        <v>280</v>
      </c>
      <c r="E16" s="115"/>
      <c r="F16" s="44">
        <f>VORN!I17</f>
        <v>0</v>
      </c>
      <c r="G16" s="114" t="s">
        <v>281</v>
      </c>
      <c r="H16" s="115"/>
      <c r="I16" s="44">
        <f>VORN!I23</f>
        <v>0</v>
      </c>
    </row>
    <row r="17" spans="1:9" ht="15.75">
      <c r="A17" s="45" t="s">
        <v>55</v>
      </c>
      <c r="B17" s="43" t="s">
        <v>39</v>
      </c>
      <c r="C17" s="44">
        <f>SUM('Stavební rozpočet'!AE12:AE156)</f>
        <v>0</v>
      </c>
      <c r="D17" s="114" t="s">
        <v>55</v>
      </c>
      <c r="E17" s="115"/>
      <c r="F17" s="46" t="s">
        <v>55</v>
      </c>
      <c r="G17" s="114" t="s">
        <v>282</v>
      </c>
      <c r="H17" s="115"/>
      <c r="I17" s="44">
        <f>VORN!I24</f>
        <v>0</v>
      </c>
    </row>
    <row r="18" spans="1:9" ht="15.75">
      <c r="A18" s="42" t="s">
        <v>283</v>
      </c>
      <c r="B18" s="43" t="s">
        <v>274</v>
      </c>
      <c r="C18" s="44">
        <f>SUM('Stavební rozpočet'!AF12:AF156)</f>
        <v>0</v>
      </c>
      <c r="D18" s="114" t="s">
        <v>55</v>
      </c>
      <c r="E18" s="115"/>
      <c r="F18" s="46" t="s">
        <v>55</v>
      </c>
      <c r="G18" s="114" t="s">
        <v>284</v>
      </c>
      <c r="H18" s="115"/>
      <c r="I18" s="44">
        <f>VORN!I25</f>
        <v>0</v>
      </c>
    </row>
    <row r="19" spans="1:9" ht="15.75">
      <c r="A19" s="45" t="s">
        <v>55</v>
      </c>
      <c r="B19" s="43" t="s">
        <v>39</v>
      </c>
      <c r="C19" s="44">
        <f>SUM('Stavební rozpočet'!AG12:AG156)</f>
        <v>0</v>
      </c>
      <c r="D19" s="114" t="s">
        <v>55</v>
      </c>
      <c r="E19" s="115"/>
      <c r="F19" s="46" t="s">
        <v>55</v>
      </c>
      <c r="G19" s="114" t="s">
        <v>285</v>
      </c>
      <c r="H19" s="115"/>
      <c r="I19" s="44">
        <f>VORN!I26</f>
        <v>0</v>
      </c>
    </row>
    <row r="20" spans="1:9" ht="15.75">
      <c r="A20" s="106" t="s">
        <v>247</v>
      </c>
      <c r="B20" s="107"/>
      <c r="C20" s="44">
        <f>SUM('Stavební rozpočet'!AH12:AH156)</f>
        <v>0</v>
      </c>
      <c r="D20" s="114" t="s">
        <v>55</v>
      </c>
      <c r="E20" s="115"/>
      <c r="F20" s="46" t="s">
        <v>55</v>
      </c>
      <c r="G20" s="114" t="s">
        <v>55</v>
      </c>
      <c r="H20" s="115"/>
      <c r="I20" s="46" t="s">
        <v>55</v>
      </c>
    </row>
    <row r="21" spans="1:9" ht="15.75">
      <c r="A21" s="121" t="s">
        <v>286</v>
      </c>
      <c r="B21" s="122"/>
      <c r="C21" s="47">
        <f>SUM('Stavební rozpočet'!Z12:Z156)</f>
        <v>0</v>
      </c>
      <c r="D21" s="116" t="s">
        <v>55</v>
      </c>
      <c r="E21" s="117"/>
      <c r="F21" s="48" t="s">
        <v>55</v>
      </c>
      <c r="G21" s="116" t="s">
        <v>55</v>
      </c>
      <c r="H21" s="117"/>
      <c r="I21" s="48" t="s">
        <v>55</v>
      </c>
    </row>
    <row r="22" spans="1:9" ht="16.5" customHeight="1">
      <c r="A22" s="123" t="s">
        <v>287</v>
      </c>
      <c r="B22" s="119"/>
      <c r="C22" s="49">
        <f>ROUND(SUM(C14:C21),2)</f>
        <v>0</v>
      </c>
      <c r="D22" s="118" t="s">
        <v>288</v>
      </c>
      <c r="E22" s="119"/>
      <c r="F22" s="49">
        <f>SUM(F14:F21)</f>
        <v>0</v>
      </c>
      <c r="G22" s="118" t="s">
        <v>289</v>
      </c>
      <c r="H22" s="119"/>
      <c r="I22" s="49">
        <v>0</v>
      </c>
    </row>
    <row r="23" spans="1:9" ht="15.75">
      <c r="D23" s="106" t="s">
        <v>290</v>
      </c>
      <c r="E23" s="107"/>
      <c r="F23" s="50">
        <v>0</v>
      </c>
      <c r="G23" s="120" t="s">
        <v>291</v>
      </c>
      <c r="H23" s="107"/>
      <c r="I23" s="44">
        <v>0</v>
      </c>
    </row>
    <row r="24" spans="1:9" ht="15.75">
      <c r="G24" s="106" t="s">
        <v>292</v>
      </c>
      <c r="H24" s="107"/>
      <c r="I24" s="44">
        <f>vorn_sum</f>
        <v>0</v>
      </c>
    </row>
    <row r="25" spans="1:9" ht="15.75">
      <c r="G25" s="106" t="s">
        <v>293</v>
      </c>
      <c r="H25" s="107"/>
      <c r="I25" s="44">
        <v>0</v>
      </c>
    </row>
    <row r="27" spans="1:9" ht="15.75">
      <c r="A27" s="108" t="s">
        <v>294</v>
      </c>
      <c r="B27" s="109"/>
      <c r="C27" s="51">
        <f>ROUND(SUM('Stavební rozpočet'!AJ12:AJ156),2)</f>
        <v>0</v>
      </c>
    </row>
    <row r="28" spans="1:9" ht="15.75">
      <c r="A28" s="110" t="s">
        <v>318</v>
      </c>
      <c r="B28" s="111"/>
      <c r="C28" s="52">
        <f>ROUND(SUM('Stavební rozpočet'!AK12:AK156),2)</f>
        <v>0</v>
      </c>
      <c r="D28" s="112" t="s">
        <v>319</v>
      </c>
      <c r="E28" s="109"/>
      <c r="F28" s="51">
        <f>ROUND(C28*(15/100),2)</f>
        <v>0</v>
      </c>
      <c r="G28" s="112" t="s">
        <v>295</v>
      </c>
      <c r="H28" s="109"/>
      <c r="I28" s="51">
        <f>ROUND(SUM(C27:C29),2)</f>
        <v>0</v>
      </c>
    </row>
    <row r="29" spans="1:9" ht="15.75">
      <c r="A29" s="110" t="s">
        <v>296</v>
      </c>
      <c r="B29" s="111"/>
      <c r="C29" s="52">
        <f>ROUND(SUM('Stavební rozpočet'!AL12:AL156)+(F22+I22+F23+I23+I24+I25),2)</f>
        <v>0</v>
      </c>
      <c r="D29" s="113" t="s">
        <v>297</v>
      </c>
      <c r="E29" s="111"/>
      <c r="F29" s="52">
        <f>ROUND(C29*(21/100),2)</f>
        <v>0</v>
      </c>
      <c r="G29" s="113" t="s">
        <v>298</v>
      </c>
      <c r="H29" s="111"/>
      <c r="I29" s="52">
        <f>ROUND(SUM(F28:F29)+I28,2)</f>
        <v>0</v>
      </c>
    </row>
    <row r="31" spans="1:9">
      <c r="A31" s="103" t="s">
        <v>299</v>
      </c>
      <c r="B31" s="95"/>
      <c r="C31" s="96"/>
      <c r="D31" s="94" t="s">
        <v>300</v>
      </c>
      <c r="E31" s="95"/>
      <c r="F31" s="96"/>
      <c r="G31" s="94" t="s">
        <v>301</v>
      </c>
      <c r="H31" s="95"/>
      <c r="I31" s="96"/>
    </row>
    <row r="32" spans="1:9">
      <c r="A32" s="104" t="s">
        <v>55</v>
      </c>
      <c r="B32" s="98"/>
      <c r="C32" s="99"/>
      <c r="D32" s="97" t="s">
        <v>55</v>
      </c>
      <c r="E32" s="98"/>
      <c r="F32" s="99"/>
      <c r="G32" s="97" t="s">
        <v>55</v>
      </c>
      <c r="H32" s="98"/>
      <c r="I32" s="99"/>
    </row>
    <row r="33" spans="1:9">
      <c r="A33" s="104" t="s">
        <v>55</v>
      </c>
      <c r="B33" s="98"/>
      <c r="C33" s="99"/>
      <c r="D33" s="97" t="s">
        <v>55</v>
      </c>
      <c r="E33" s="98"/>
      <c r="F33" s="99"/>
      <c r="G33" s="97" t="s">
        <v>55</v>
      </c>
      <c r="H33" s="98"/>
      <c r="I33" s="99"/>
    </row>
    <row r="34" spans="1:9">
      <c r="A34" s="104" t="s">
        <v>55</v>
      </c>
      <c r="B34" s="98"/>
      <c r="C34" s="99"/>
      <c r="D34" s="97" t="s">
        <v>55</v>
      </c>
      <c r="E34" s="98"/>
      <c r="F34" s="99"/>
      <c r="G34" s="97" t="s">
        <v>55</v>
      </c>
      <c r="H34" s="98"/>
      <c r="I34" s="99"/>
    </row>
    <row r="35" spans="1:9">
      <c r="A35" s="105" t="s">
        <v>302</v>
      </c>
      <c r="B35" s="101"/>
      <c r="C35" s="102"/>
      <c r="D35" s="100" t="s">
        <v>302</v>
      </c>
      <c r="E35" s="101"/>
      <c r="F35" s="102"/>
      <c r="G35" s="100" t="s">
        <v>302</v>
      </c>
      <c r="H35" s="101"/>
      <c r="I35" s="102"/>
    </row>
    <row r="36" spans="1:9">
      <c r="A36" s="53" t="s">
        <v>261</v>
      </c>
    </row>
    <row r="37" spans="1:9" ht="12.75" customHeight="1">
      <c r="A37" s="63" t="s">
        <v>55</v>
      </c>
      <c r="B37" s="64"/>
      <c r="C37" s="64"/>
      <c r="D37" s="64"/>
      <c r="E37" s="64"/>
      <c r="F37" s="64"/>
      <c r="G37" s="64"/>
      <c r="H37" s="64"/>
      <c r="I37" s="64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130" t="s">
        <v>303</v>
      </c>
      <c r="B1" s="85"/>
      <c r="C1" s="85"/>
      <c r="D1" s="85"/>
      <c r="E1" s="85"/>
      <c r="F1" s="85"/>
      <c r="G1" s="85"/>
      <c r="H1" s="85"/>
      <c r="I1" s="85"/>
    </row>
    <row r="2" spans="1:9">
      <c r="A2" s="86" t="s">
        <v>1</v>
      </c>
      <c r="B2" s="78"/>
      <c r="C2" s="91" t="str">
        <f>'Stavební rozpočet'!D2</f>
        <v>Nafukovací hala Dobříš</v>
      </c>
      <c r="D2" s="92"/>
      <c r="E2" s="90" t="s">
        <v>5</v>
      </c>
      <c r="F2" s="90" t="str">
        <f>'Stavební rozpočet'!J2</f>
        <v>Město Dobříš</v>
      </c>
      <c r="G2" s="78"/>
      <c r="H2" s="90" t="s">
        <v>263</v>
      </c>
      <c r="I2" s="79" t="s">
        <v>55</v>
      </c>
    </row>
    <row r="3" spans="1:9" ht="15" customHeight="1">
      <c r="A3" s="87"/>
      <c r="B3" s="64"/>
      <c r="C3" s="93"/>
      <c r="D3" s="93"/>
      <c r="E3" s="64"/>
      <c r="F3" s="64"/>
      <c r="G3" s="64"/>
      <c r="H3" s="64"/>
      <c r="I3" s="80"/>
    </row>
    <row r="4" spans="1:9">
      <c r="A4" s="88" t="s">
        <v>6</v>
      </c>
      <c r="B4" s="64"/>
      <c r="C4" s="63" t="str">
        <f>'Stavební rozpočet'!D4</f>
        <v>Stavební objekty pro nafukovací halu</v>
      </c>
      <c r="D4" s="64"/>
      <c r="E4" s="63" t="s">
        <v>10</v>
      </c>
      <c r="F4" s="63" t="str">
        <f>'Stavební rozpočet'!J4</f>
        <v>Josef Šimonovský</v>
      </c>
      <c r="G4" s="64"/>
      <c r="H4" s="63" t="s">
        <v>263</v>
      </c>
      <c r="I4" s="80" t="s">
        <v>55</v>
      </c>
    </row>
    <row r="5" spans="1:9" ht="15" customHeight="1">
      <c r="A5" s="87"/>
      <c r="B5" s="64"/>
      <c r="C5" s="64"/>
      <c r="D5" s="64"/>
      <c r="E5" s="64"/>
      <c r="F5" s="64"/>
      <c r="G5" s="64"/>
      <c r="H5" s="64"/>
      <c r="I5" s="80"/>
    </row>
    <row r="6" spans="1:9">
      <c r="A6" s="88" t="s">
        <v>11</v>
      </c>
      <c r="B6" s="64"/>
      <c r="C6" s="63" t="str">
        <f>'Stavební rozpočet'!D6</f>
        <v>k. ú. Dobříš, p.č. 353/10, 353/50</v>
      </c>
      <c r="D6" s="64"/>
      <c r="E6" s="63" t="s">
        <v>15</v>
      </c>
      <c r="F6" s="63" t="str">
        <f>'Stavební rozpočet'!J6</f>
        <v>výběrové řízení</v>
      </c>
      <c r="G6" s="64"/>
      <c r="H6" s="63" t="s">
        <v>263</v>
      </c>
      <c r="I6" s="80" t="s">
        <v>55</v>
      </c>
    </row>
    <row r="7" spans="1:9" ht="15" customHeight="1">
      <c r="A7" s="87"/>
      <c r="B7" s="64"/>
      <c r="C7" s="64"/>
      <c r="D7" s="64"/>
      <c r="E7" s="64"/>
      <c r="F7" s="64"/>
      <c r="G7" s="64"/>
      <c r="H7" s="64"/>
      <c r="I7" s="80"/>
    </row>
    <row r="8" spans="1:9">
      <c r="A8" s="88" t="s">
        <v>8</v>
      </c>
      <c r="B8" s="64"/>
      <c r="C8" s="63" t="str">
        <f>'Stavební rozpočet'!H4</f>
        <v>01.07.2026</v>
      </c>
      <c r="D8" s="64"/>
      <c r="E8" s="63" t="s">
        <v>13</v>
      </c>
      <c r="F8" s="63" t="str">
        <f>'Stavební rozpočet'!H6</f>
        <v>31.07.2026</v>
      </c>
      <c r="G8" s="64"/>
      <c r="H8" s="64" t="s">
        <v>264</v>
      </c>
      <c r="I8" s="131">
        <v>50</v>
      </c>
    </row>
    <row r="9" spans="1:9">
      <c r="A9" s="87"/>
      <c r="B9" s="64"/>
      <c r="C9" s="64"/>
      <c r="D9" s="64"/>
      <c r="E9" s="64"/>
      <c r="F9" s="64"/>
      <c r="G9" s="64"/>
      <c r="H9" s="64"/>
      <c r="I9" s="80"/>
    </row>
    <row r="10" spans="1:9">
      <c r="A10" s="88" t="s">
        <v>16</v>
      </c>
      <c r="B10" s="64"/>
      <c r="C10" s="63" t="str">
        <f>'Stavební rozpočet'!D8</f>
        <v>8022191</v>
      </c>
      <c r="D10" s="64"/>
      <c r="E10" s="63" t="s">
        <v>20</v>
      </c>
      <c r="F10" s="63" t="str">
        <f>'Stavební rozpočet'!J8</f>
        <v>J. Šimonovský, 0000883</v>
      </c>
      <c r="G10" s="64"/>
      <c r="H10" s="64" t="s">
        <v>265</v>
      </c>
      <c r="I10" s="124" t="str">
        <f>'Stavební rozpočet'!H8</f>
        <v>05.03.2026</v>
      </c>
    </row>
    <row r="11" spans="1:9">
      <c r="A11" s="129"/>
      <c r="B11" s="68"/>
      <c r="C11" s="68"/>
      <c r="D11" s="68"/>
      <c r="E11" s="68"/>
      <c r="F11" s="68"/>
      <c r="G11" s="68"/>
      <c r="H11" s="68"/>
      <c r="I11" s="125"/>
    </row>
    <row r="13" spans="1:9" ht="15.75">
      <c r="A13" s="141" t="s">
        <v>304</v>
      </c>
      <c r="B13" s="141"/>
      <c r="C13" s="141"/>
      <c r="D13" s="141"/>
      <c r="E13" s="141"/>
    </row>
    <row r="14" spans="1:9">
      <c r="A14" s="142" t="s">
        <v>305</v>
      </c>
      <c r="B14" s="143"/>
      <c r="C14" s="143"/>
      <c r="D14" s="143"/>
      <c r="E14" s="144"/>
      <c r="F14" s="54" t="s">
        <v>306</v>
      </c>
      <c r="G14" s="54" t="s">
        <v>307</v>
      </c>
      <c r="H14" s="54" t="s">
        <v>308</v>
      </c>
      <c r="I14" s="54" t="s">
        <v>306</v>
      </c>
    </row>
    <row r="15" spans="1:9">
      <c r="A15" s="148" t="s">
        <v>275</v>
      </c>
      <c r="B15" s="149"/>
      <c r="C15" s="149"/>
      <c r="D15" s="149"/>
      <c r="E15" s="150"/>
      <c r="F15" s="55">
        <v>0</v>
      </c>
      <c r="G15" s="56" t="s">
        <v>55</v>
      </c>
      <c r="H15" s="56" t="s">
        <v>55</v>
      </c>
      <c r="I15" s="55">
        <f>F15</f>
        <v>0</v>
      </c>
    </row>
    <row r="16" spans="1:9">
      <c r="A16" s="148" t="s">
        <v>277</v>
      </c>
      <c r="B16" s="149"/>
      <c r="C16" s="149"/>
      <c r="D16" s="149"/>
      <c r="E16" s="150"/>
      <c r="F16" s="55">
        <v>0</v>
      </c>
      <c r="G16" s="56" t="s">
        <v>55</v>
      </c>
      <c r="H16" s="56" t="s">
        <v>55</v>
      </c>
      <c r="I16" s="55">
        <f>F16</f>
        <v>0</v>
      </c>
    </row>
    <row r="17" spans="1:9">
      <c r="A17" s="145" t="s">
        <v>280</v>
      </c>
      <c r="B17" s="146"/>
      <c r="C17" s="146"/>
      <c r="D17" s="146"/>
      <c r="E17" s="147"/>
      <c r="F17" s="57">
        <v>0</v>
      </c>
      <c r="G17" s="58" t="s">
        <v>55</v>
      </c>
      <c r="H17" s="58" t="s">
        <v>55</v>
      </c>
      <c r="I17" s="57">
        <f>F17</f>
        <v>0</v>
      </c>
    </row>
    <row r="18" spans="1:9">
      <c r="A18" s="132" t="s">
        <v>309</v>
      </c>
      <c r="B18" s="133"/>
      <c r="C18" s="133"/>
      <c r="D18" s="133"/>
      <c r="E18" s="134"/>
      <c r="F18" s="59" t="s">
        <v>55</v>
      </c>
      <c r="G18" s="60" t="s">
        <v>55</v>
      </c>
      <c r="H18" s="60" t="s">
        <v>55</v>
      </c>
      <c r="I18" s="61">
        <f>SUM(I15:I17)</f>
        <v>0</v>
      </c>
    </row>
    <row r="20" spans="1:9">
      <c r="A20" s="142" t="s">
        <v>272</v>
      </c>
      <c r="B20" s="143"/>
      <c r="C20" s="143"/>
      <c r="D20" s="143"/>
      <c r="E20" s="144"/>
      <c r="F20" s="54" t="s">
        <v>306</v>
      </c>
      <c r="G20" s="54" t="s">
        <v>307</v>
      </c>
      <c r="H20" s="54" t="s">
        <v>308</v>
      </c>
      <c r="I20" s="54" t="s">
        <v>306</v>
      </c>
    </row>
    <row r="21" spans="1:9">
      <c r="A21" s="148" t="s">
        <v>276</v>
      </c>
      <c r="B21" s="149"/>
      <c r="C21" s="149"/>
      <c r="D21" s="149"/>
      <c r="E21" s="150"/>
      <c r="F21" s="56" t="s">
        <v>55</v>
      </c>
      <c r="G21" s="55">
        <v>2.5</v>
      </c>
      <c r="H21" s="55">
        <f>'Krycí list rozpočtu'!C22</f>
        <v>0</v>
      </c>
      <c r="I21" s="55">
        <f>ROUND((G21/100)*H21,2)</f>
        <v>0</v>
      </c>
    </row>
    <row r="22" spans="1:9">
      <c r="A22" s="148" t="s">
        <v>278</v>
      </c>
      <c r="B22" s="149"/>
      <c r="C22" s="149"/>
      <c r="D22" s="149"/>
      <c r="E22" s="150"/>
      <c r="F22" s="55">
        <v>7294.74</v>
      </c>
      <c r="G22" s="56" t="s">
        <v>55</v>
      </c>
      <c r="H22" s="56" t="s">
        <v>55</v>
      </c>
      <c r="I22" s="55">
        <f>F22</f>
        <v>7294.74</v>
      </c>
    </row>
    <row r="23" spans="1:9">
      <c r="A23" s="148" t="s">
        <v>281</v>
      </c>
      <c r="B23" s="149"/>
      <c r="C23" s="149"/>
      <c r="D23" s="149"/>
      <c r="E23" s="150"/>
      <c r="F23" s="55">
        <v>0</v>
      </c>
      <c r="G23" s="56" t="s">
        <v>55</v>
      </c>
      <c r="H23" s="56" t="s">
        <v>55</v>
      </c>
      <c r="I23" s="55">
        <f>F23</f>
        <v>0</v>
      </c>
    </row>
    <row r="24" spans="1:9">
      <c r="A24" s="148" t="s">
        <v>282</v>
      </c>
      <c r="B24" s="149"/>
      <c r="C24" s="149"/>
      <c r="D24" s="149"/>
      <c r="E24" s="150"/>
      <c r="F24" s="55">
        <v>0</v>
      </c>
      <c r="G24" s="56" t="s">
        <v>55</v>
      </c>
      <c r="H24" s="56" t="s">
        <v>55</v>
      </c>
      <c r="I24" s="55">
        <f>F24</f>
        <v>0</v>
      </c>
    </row>
    <row r="25" spans="1:9">
      <c r="A25" s="148" t="s">
        <v>284</v>
      </c>
      <c r="B25" s="149"/>
      <c r="C25" s="149"/>
      <c r="D25" s="149"/>
      <c r="E25" s="150"/>
      <c r="F25" s="55">
        <v>0</v>
      </c>
      <c r="G25" s="56" t="s">
        <v>55</v>
      </c>
      <c r="H25" s="56" t="s">
        <v>55</v>
      </c>
      <c r="I25" s="55">
        <f>F25</f>
        <v>0</v>
      </c>
    </row>
    <row r="26" spans="1:9">
      <c r="A26" s="145" t="s">
        <v>285</v>
      </c>
      <c r="B26" s="146"/>
      <c r="C26" s="146"/>
      <c r="D26" s="146"/>
      <c r="E26" s="147"/>
      <c r="F26" s="57">
        <v>0</v>
      </c>
      <c r="G26" s="58" t="s">
        <v>55</v>
      </c>
      <c r="H26" s="58" t="s">
        <v>55</v>
      </c>
      <c r="I26" s="57">
        <f>F26</f>
        <v>0</v>
      </c>
    </row>
    <row r="27" spans="1:9">
      <c r="A27" s="132" t="s">
        <v>310</v>
      </c>
      <c r="B27" s="133"/>
      <c r="C27" s="133"/>
      <c r="D27" s="133"/>
      <c r="E27" s="134"/>
      <c r="F27" s="59" t="s">
        <v>55</v>
      </c>
      <c r="G27" s="60" t="s">
        <v>55</v>
      </c>
      <c r="H27" s="60" t="s">
        <v>55</v>
      </c>
      <c r="I27" s="61">
        <f>SUM(I21:I26)</f>
        <v>7294.74</v>
      </c>
    </row>
    <row r="29" spans="1:9" ht="15.75">
      <c r="A29" s="135" t="s">
        <v>311</v>
      </c>
      <c r="B29" s="136"/>
      <c r="C29" s="136"/>
      <c r="D29" s="136"/>
      <c r="E29" s="137"/>
      <c r="F29" s="138">
        <f>I18+I27</f>
        <v>7294.74</v>
      </c>
      <c r="G29" s="139"/>
      <c r="H29" s="139"/>
      <c r="I29" s="140"/>
    </row>
    <row r="33" spans="1:9" ht="15.75">
      <c r="A33" s="141" t="s">
        <v>312</v>
      </c>
      <c r="B33" s="141"/>
      <c r="C33" s="141"/>
      <c r="D33" s="141"/>
      <c r="E33" s="141"/>
    </row>
    <row r="34" spans="1:9">
      <c r="A34" s="142" t="s">
        <v>313</v>
      </c>
      <c r="B34" s="143"/>
      <c r="C34" s="143"/>
      <c r="D34" s="143"/>
      <c r="E34" s="144"/>
      <c r="F34" s="54" t="s">
        <v>306</v>
      </c>
      <c r="G34" s="54" t="s">
        <v>307</v>
      </c>
      <c r="H34" s="54" t="s">
        <v>308</v>
      </c>
      <c r="I34" s="54" t="s">
        <v>306</v>
      </c>
    </row>
    <row r="35" spans="1:9">
      <c r="A35" s="145" t="s">
        <v>55</v>
      </c>
      <c r="B35" s="146"/>
      <c r="C35" s="146"/>
      <c r="D35" s="146"/>
      <c r="E35" s="147"/>
      <c r="F35" s="57">
        <v>0</v>
      </c>
      <c r="G35" s="58" t="s">
        <v>55</v>
      </c>
      <c r="H35" s="58" t="s">
        <v>55</v>
      </c>
      <c r="I35" s="57">
        <f>F35</f>
        <v>0</v>
      </c>
    </row>
    <row r="36" spans="1:9">
      <c r="A36" s="132" t="s">
        <v>314</v>
      </c>
      <c r="B36" s="133"/>
      <c r="C36" s="133"/>
      <c r="D36" s="133"/>
      <c r="E36" s="134"/>
      <c r="F36" s="59" t="s">
        <v>55</v>
      </c>
      <c r="G36" s="60" t="s">
        <v>55</v>
      </c>
      <c r="H36" s="60" t="s">
        <v>55</v>
      </c>
      <c r="I36" s="61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Stas-Dobris</cp:lastModifiedBy>
  <dcterms:created xsi:type="dcterms:W3CDTF">2021-06-10T20:06:38Z</dcterms:created>
  <dcterms:modified xsi:type="dcterms:W3CDTF">2026-03-05T10:33:03Z</dcterms:modified>
</cp:coreProperties>
</file>